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nheira02\Desktop\Vale 3 Pontes\"/>
    </mc:Choice>
  </mc:AlternateContent>
  <bookViews>
    <workbookView xWindow="0" yWindow="0" windowWidth="24000" windowHeight="9345"/>
  </bookViews>
  <sheets>
    <sheet name="Planilha" sheetId="1" r:id="rId1"/>
    <sheet name="Memorial" sheetId="5" r:id="rId2"/>
    <sheet name="Cronograma" sheetId="2" r:id="rId3"/>
    <sheet name="CPU" sheetId="7" r:id="rId4"/>
    <sheet name="Plan1" sheetId="3" state="hidden" r:id="rId5"/>
    <sheet name="Plan2" sheetId="4" state="hidden" r:id="rId6"/>
  </sheets>
  <definedNames>
    <definedName name="_xlnm.Print_Area" localSheetId="3">CPU!$B$1:$G$28</definedName>
    <definedName name="_xlnm.Print_Area" localSheetId="1">Memorial!$A$1:$F$127</definedName>
    <definedName name="_xlnm.Print_Area" localSheetId="0">Planilha!$A$1:$I$133</definedName>
    <definedName name="Z_9A9F92EC_0D2A_4945_BDAD_ACC34D60F595_.wvu.PrintArea" localSheetId="0" hidden="1">Planilha!$A$1:$I$48</definedName>
  </definedNames>
  <calcPr calcId="191029"/>
  <customWorkbookViews>
    <customWorkbookView name="Abril/15" guid="{9A9F92EC-0D2A-4945-BDAD-ACC34D60F595}" maximized="1" windowWidth="1276" windowHeight="7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5" l="1"/>
  <c r="E32" i="5"/>
  <c r="E29" i="5"/>
  <c r="E30" i="5" s="1"/>
  <c r="E70" i="5"/>
  <c r="E67" i="5"/>
  <c r="E124" i="5"/>
  <c r="E122" i="5"/>
  <c r="E120" i="5"/>
  <c r="E93" i="5"/>
  <c r="E104" i="5"/>
  <c r="F108" i="1" s="1"/>
  <c r="E103" i="5"/>
  <c r="F107" i="1" s="1"/>
  <c r="E101" i="5"/>
  <c r="F105" i="1" s="1"/>
  <c r="E96" i="5"/>
  <c r="E97" i="5"/>
  <c r="F101" i="1" s="1"/>
  <c r="E86" i="5"/>
  <c r="F89" i="1" s="1"/>
  <c r="E94" i="5"/>
  <c r="F98" i="1" s="1"/>
  <c r="F97" i="1"/>
  <c r="D94" i="5"/>
  <c r="A94" i="5"/>
  <c r="B94" i="5"/>
  <c r="D93" i="5"/>
  <c r="A93" i="5"/>
  <c r="B93" i="5"/>
  <c r="A87" i="5"/>
  <c r="B87" i="5"/>
  <c r="D87" i="5"/>
  <c r="H90" i="1"/>
  <c r="H98" i="1"/>
  <c r="H97" i="1"/>
  <c r="E59" i="5"/>
  <c r="F62" i="1" s="1"/>
  <c r="D59" i="5"/>
  <c r="B59" i="5"/>
  <c r="A59" i="5"/>
  <c r="A60" i="5"/>
  <c r="A61" i="5"/>
  <c r="A62" i="5"/>
  <c r="A63" i="5"/>
  <c r="A64" i="5"/>
  <c r="A65" i="5"/>
  <c r="H62" i="1"/>
  <c r="E48" i="5"/>
  <c r="F50" i="1" s="1"/>
  <c r="I50" i="1" s="1"/>
  <c r="A48" i="5"/>
  <c r="B48" i="5"/>
  <c r="D48" i="5"/>
  <c r="H50" i="1"/>
  <c r="E47" i="5"/>
  <c r="F49" i="1" s="1"/>
  <c r="A47" i="5"/>
  <c r="B47" i="5"/>
  <c r="D47" i="5"/>
  <c r="H49" i="1"/>
  <c r="A37" i="5"/>
  <c r="A38" i="5"/>
  <c r="A39" i="5"/>
  <c r="A40" i="5"/>
  <c r="A41" i="5"/>
  <c r="A42" i="5"/>
  <c r="A43" i="5"/>
  <c r="A44" i="5"/>
  <c r="A45" i="5"/>
  <c r="A46" i="5"/>
  <c r="F106" i="1"/>
  <c r="F100" i="1"/>
  <c r="F102" i="1"/>
  <c r="F99" i="1"/>
  <c r="E125" i="5"/>
  <c r="F129" i="1" s="1"/>
  <c r="E111" i="5"/>
  <c r="F115" i="1" s="1"/>
  <c r="C109" i="5"/>
  <c r="E108" i="5"/>
  <c r="E109" i="5" s="1"/>
  <c r="F113" i="1" s="1"/>
  <c r="E85" i="5"/>
  <c r="E75" i="5"/>
  <c r="E58" i="5"/>
  <c r="E82" i="5"/>
  <c r="D86" i="5"/>
  <c r="B86" i="5"/>
  <c r="A86" i="5"/>
  <c r="A88" i="5"/>
  <c r="H89" i="1"/>
  <c r="E87" i="5" l="1"/>
  <c r="F90" i="1" s="1"/>
  <c r="I90" i="1" s="1"/>
  <c r="E106" i="5"/>
  <c r="F110" i="1" s="1"/>
  <c r="E105" i="5"/>
  <c r="F109" i="1" s="1"/>
  <c r="E112" i="5"/>
  <c r="F116" i="1" s="1"/>
  <c r="E113" i="5"/>
  <c r="F117" i="1" s="1"/>
  <c r="E110" i="5"/>
  <c r="F114" i="1" s="1"/>
  <c r="I97" i="1"/>
  <c r="I98" i="1"/>
  <c r="I62" i="1"/>
  <c r="I49" i="1"/>
  <c r="I89" i="1"/>
  <c r="F112" i="1"/>
  <c r="G5" i="7"/>
  <c r="E21" i="5"/>
  <c r="B75" i="5"/>
  <c r="B119" i="1"/>
  <c r="B77" i="1"/>
  <c r="G3" i="7"/>
  <c r="E9" i="5"/>
  <c r="E115" i="5" l="1"/>
  <c r="F119" i="1" s="1"/>
  <c r="E45" i="5"/>
  <c r="E25" i="5" l="1"/>
  <c r="E22" i="5"/>
  <c r="E19" i="5"/>
  <c r="E17" i="5"/>
  <c r="E18" i="5" s="1"/>
  <c r="E8" i="5"/>
  <c r="A51" i="5"/>
  <c r="A91" i="5"/>
  <c r="A14" i="5"/>
  <c r="E100" i="5"/>
  <c r="F104" i="1" s="1"/>
  <c r="D75" i="5"/>
  <c r="A75" i="5"/>
  <c r="G32" i="1"/>
  <c r="E54" i="5"/>
  <c r="E55" i="5" s="1"/>
  <c r="G27" i="7"/>
  <c r="G23" i="7"/>
  <c r="G24" i="7"/>
  <c r="G25" i="7"/>
  <c r="G36" i="1"/>
  <c r="E46" i="5" l="1"/>
  <c r="E127" i="5"/>
  <c r="F131" i="1" s="1"/>
  <c r="F128" i="1"/>
  <c r="F126" i="1" l="1"/>
  <c r="F124" i="1"/>
  <c r="E119" i="5"/>
  <c r="F123" i="1" s="1"/>
  <c r="E36" i="5"/>
  <c r="D96" i="5"/>
  <c r="D97" i="5"/>
  <c r="D98" i="5"/>
  <c r="D109" i="5"/>
  <c r="D110" i="5"/>
  <c r="D111" i="5"/>
  <c r="D112" i="5"/>
  <c r="D113" i="5"/>
  <c r="D108" i="5"/>
  <c r="F78" i="1"/>
  <c r="E90" i="5"/>
  <c r="E88" i="5"/>
  <c r="E84" i="5"/>
  <c r="E80" i="5"/>
  <c r="E79" i="5"/>
  <c r="E37" i="5" l="1"/>
  <c r="E38" i="5"/>
  <c r="E63" i="5"/>
  <c r="E60" i="5"/>
  <c r="E56" i="5"/>
  <c r="E50" i="5"/>
  <c r="E43" i="5"/>
  <c r="E41" i="5"/>
  <c r="E40" i="5"/>
  <c r="D54" i="5" l="1"/>
  <c r="D55" i="5"/>
  <c r="D56" i="5"/>
  <c r="D58" i="5"/>
  <c r="D60" i="5"/>
  <c r="D61" i="5"/>
  <c r="D62" i="5"/>
  <c r="D63" i="5"/>
  <c r="D64" i="5"/>
  <c r="D65" i="5"/>
  <c r="D67" i="5"/>
  <c r="D68" i="5"/>
  <c r="D69" i="5"/>
  <c r="D70" i="5"/>
  <c r="D71" i="5"/>
  <c r="D72" i="5"/>
  <c r="D74" i="5"/>
  <c r="D76" i="5"/>
  <c r="D77" i="5"/>
  <c r="D78" i="5"/>
  <c r="D79" i="5"/>
  <c r="D80" i="5"/>
  <c r="D81" i="5"/>
  <c r="D82" i="5"/>
  <c r="D83" i="5"/>
  <c r="D84" i="5"/>
  <c r="D85" i="5"/>
  <c r="D88" i="5"/>
  <c r="D90" i="5"/>
  <c r="D53" i="5"/>
  <c r="D100" i="5"/>
  <c r="D101" i="5"/>
  <c r="D102" i="5"/>
  <c r="D103" i="5"/>
  <c r="D104" i="5"/>
  <c r="D105" i="5"/>
  <c r="D106" i="5"/>
  <c r="D115" i="5"/>
  <c r="D116" i="5"/>
  <c r="D117" i="5"/>
  <c r="D118" i="5"/>
  <c r="D119" i="5"/>
  <c r="D120" i="5"/>
  <c r="D121" i="5"/>
  <c r="D122" i="5"/>
  <c r="D123" i="5"/>
  <c r="D124" i="5"/>
  <c r="D125" i="5"/>
  <c r="D127" i="5"/>
  <c r="D95" i="5"/>
  <c r="D50" i="5"/>
  <c r="D16" i="5"/>
  <c r="B6" i="5"/>
  <c r="A6" i="5"/>
  <c r="E13" i="5"/>
  <c r="E12" i="5"/>
  <c r="E11" i="5"/>
  <c r="C12" i="5"/>
  <c r="E10" i="5"/>
  <c r="F56" i="1"/>
  <c r="C124" i="1"/>
  <c r="C83" i="1"/>
  <c r="B52" i="5"/>
  <c r="B53" i="5"/>
  <c r="B54" i="5"/>
  <c r="B55" i="5"/>
  <c r="B56" i="5"/>
  <c r="B57" i="5"/>
  <c r="B58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6" i="5"/>
  <c r="B77" i="5"/>
  <c r="B78" i="5"/>
  <c r="B79" i="5"/>
  <c r="B80" i="5"/>
  <c r="B81" i="5"/>
  <c r="B82" i="5"/>
  <c r="B83" i="5"/>
  <c r="B85" i="5"/>
  <c r="B88" i="5"/>
  <c r="B89" i="5"/>
  <c r="B90" i="5"/>
  <c r="A52" i="5"/>
  <c r="A53" i="5"/>
  <c r="A54" i="5"/>
  <c r="A55" i="5"/>
  <c r="A56" i="5"/>
  <c r="A57" i="5"/>
  <c r="A58" i="5"/>
  <c r="A66" i="5"/>
  <c r="A67" i="5"/>
  <c r="A68" i="5"/>
  <c r="A69" i="5"/>
  <c r="A70" i="5"/>
  <c r="A71" i="5"/>
  <c r="A72" i="5"/>
  <c r="A73" i="5"/>
  <c r="A74" i="5"/>
  <c r="A76" i="5"/>
  <c r="A77" i="5"/>
  <c r="A78" i="5"/>
  <c r="A79" i="5"/>
  <c r="A80" i="5"/>
  <c r="A81" i="5"/>
  <c r="A82" i="5"/>
  <c r="A83" i="5"/>
  <c r="A84" i="5"/>
  <c r="A85" i="5"/>
  <c r="A89" i="5"/>
  <c r="A90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A125" i="5"/>
  <c r="B125" i="5"/>
  <c r="A126" i="5"/>
  <c r="B126" i="5"/>
  <c r="A127" i="5"/>
  <c r="B127" i="5"/>
  <c r="A109" i="5"/>
  <c r="B109" i="5"/>
  <c r="A110" i="5"/>
  <c r="B110" i="5"/>
  <c r="A111" i="5"/>
  <c r="B111" i="5"/>
  <c r="A112" i="5"/>
  <c r="B112" i="5"/>
  <c r="A113" i="5"/>
  <c r="B113" i="5"/>
  <c r="B108" i="5"/>
  <c r="A108" i="5"/>
  <c r="B107" i="5"/>
  <c r="A107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0" i="5"/>
  <c r="B100" i="5"/>
  <c r="B99" i="5"/>
  <c r="A99" i="5"/>
  <c r="B95" i="5"/>
  <c r="B96" i="5"/>
  <c r="B97" i="5"/>
  <c r="B98" i="5"/>
  <c r="A96" i="5"/>
  <c r="A97" i="5"/>
  <c r="A98" i="5"/>
  <c r="A95" i="5"/>
  <c r="B92" i="5"/>
  <c r="A92" i="5"/>
  <c r="A50" i="5"/>
  <c r="C119" i="1"/>
  <c r="C77" i="1"/>
  <c r="F93" i="1"/>
  <c r="F91" i="1"/>
  <c r="F87" i="1"/>
  <c r="E81" i="5"/>
  <c r="F82" i="1"/>
  <c r="C76" i="5"/>
  <c r="F80" i="1"/>
  <c r="E71" i="5"/>
  <c r="E69" i="5"/>
  <c r="C68" i="5"/>
  <c r="E68" i="5"/>
  <c r="E65" i="5"/>
  <c r="C61" i="5"/>
  <c r="F61" i="1"/>
  <c r="F57" i="1"/>
  <c r="E121" i="5"/>
  <c r="F125" i="1" s="1"/>
  <c r="C116" i="5"/>
  <c r="E117" i="5"/>
  <c r="B40" i="2"/>
  <c r="B38" i="2"/>
  <c r="B36" i="2"/>
  <c r="B34" i="2"/>
  <c r="B32" i="2"/>
  <c r="B29" i="2"/>
  <c r="B27" i="2"/>
  <c r="B25" i="2"/>
  <c r="B23" i="2"/>
  <c r="B21" i="2"/>
  <c r="A31" i="2"/>
  <c r="A20" i="2"/>
  <c r="A9" i="2"/>
  <c r="H93" i="1"/>
  <c r="H91" i="1"/>
  <c r="H88" i="1"/>
  <c r="H87" i="1"/>
  <c r="B87" i="1"/>
  <c r="B84" i="5" s="1"/>
  <c r="H86" i="1"/>
  <c r="D86" i="1"/>
  <c r="C86" i="1"/>
  <c r="H85" i="1"/>
  <c r="H84" i="1"/>
  <c r="H82" i="1"/>
  <c r="H81" i="1"/>
  <c r="H80" i="1"/>
  <c r="H79" i="1"/>
  <c r="H75" i="1"/>
  <c r="H74" i="1"/>
  <c r="H73" i="1"/>
  <c r="H72" i="1"/>
  <c r="H71" i="1"/>
  <c r="H70" i="1"/>
  <c r="H68" i="1"/>
  <c r="H67" i="1"/>
  <c r="H66" i="1"/>
  <c r="H65" i="1"/>
  <c r="H64" i="1"/>
  <c r="H63" i="1"/>
  <c r="H61" i="1"/>
  <c r="H59" i="1"/>
  <c r="H58" i="1"/>
  <c r="H57" i="1"/>
  <c r="H56" i="1"/>
  <c r="H131" i="1"/>
  <c r="H129" i="1"/>
  <c r="H128" i="1"/>
  <c r="B128" i="1"/>
  <c r="B124" i="5" s="1"/>
  <c r="H127" i="1"/>
  <c r="D127" i="1"/>
  <c r="C127" i="1"/>
  <c r="H126" i="1"/>
  <c r="H125" i="1"/>
  <c r="H123" i="1"/>
  <c r="H122" i="1"/>
  <c r="H121" i="1"/>
  <c r="H120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2" i="1"/>
  <c r="H101" i="1"/>
  <c r="H100" i="1"/>
  <c r="H99" i="1"/>
  <c r="E116" i="5" l="1"/>
  <c r="F120" i="1" s="1"/>
  <c r="F121" i="1"/>
  <c r="I121" i="1" s="1"/>
  <c r="F85" i="1"/>
  <c r="I85" i="1" s="1"/>
  <c r="I100" i="1"/>
  <c r="I115" i="1"/>
  <c r="E72" i="5"/>
  <c r="I117" i="1" s="1"/>
  <c r="I104" i="1"/>
  <c r="I128" i="1"/>
  <c r="F73" i="1"/>
  <c r="I73" i="1" s="1"/>
  <c r="I131" i="1"/>
  <c r="I130" i="1" s="1"/>
  <c r="C29" i="2" s="1"/>
  <c r="E29" i="2" s="1"/>
  <c r="E83" i="5"/>
  <c r="F84" i="1"/>
  <c r="I84" i="1" s="1"/>
  <c r="F70" i="1"/>
  <c r="I70" i="1" s="1"/>
  <c r="F77" i="1"/>
  <c r="F71" i="1"/>
  <c r="I71" i="1" s="1"/>
  <c r="I56" i="1"/>
  <c r="I101" i="1"/>
  <c r="E64" i="5"/>
  <c r="F67" i="1" s="1"/>
  <c r="I67" i="1" s="1"/>
  <c r="E123" i="5"/>
  <c r="F127" i="1" s="1"/>
  <c r="E61" i="5"/>
  <c r="F66" i="1"/>
  <c r="I66" i="1" s="1"/>
  <c r="I112" i="1"/>
  <c r="F63" i="1"/>
  <c r="I63" i="1" s="1"/>
  <c r="I116" i="1"/>
  <c r="F74" i="1"/>
  <c r="I74" i="1" s="1"/>
  <c r="F72" i="1"/>
  <c r="I72" i="1" s="1"/>
  <c r="I87" i="1"/>
  <c r="F88" i="1"/>
  <c r="I88" i="1" s="1"/>
  <c r="F83" i="1"/>
  <c r="F59" i="1"/>
  <c r="I59" i="1" s="1"/>
  <c r="I93" i="1"/>
  <c r="I92" i="1" s="1"/>
  <c r="C40" i="2" s="1"/>
  <c r="I40" i="2" s="1"/>
  <c r="I123" i="1"/>
  <c r="F68" i="1"/>
  <c r="I68" i="1" s="1"/>
  <c r="I105" i="1"/>
  <c r="I91" i="1"/>
  <c r="I80" i="1"/>
  <c r="I61" i="1"/>
  <c r="E76" i="5"/>
  <c r="I108" i="1"/>
  <c r="E78" i="5"/>
  <c r="I126" i="1"/>
  <c r="E62" i="5"/>
  <c r="E118" i="5"/>
  <c r="F122" i="1" s="1"/>
  <c r="I82" i="1"/>
  <c r="I57" i="1"/>
  <c r="I114" i="1"/>
  <c r="I129" i="1"/>
  <c r="I99" i="1"/>
  <c r="I96" i="1" s="1"/>
  <c r="I110" i="1"/>
  <c r="I125" i="1"/>
  <c r="I102" i="1"/>
  <c r="I113" i="1"/>
  <c r="B38" i="1"/>
  <c r="C43" i="1"/>
  <c r="C38" i="1"/>
  <c r="I111" i="1" l="1"/>
  <c r="C25" i="2" s="1"/>
  <c r="I127" i="1"/>
  <c r="F75" i="1"/>
  <c r="I75" i="1" s="1"/>
  <c r="I69" i="1" s="1"/>
  <c r="C36" i="2" s="1"/>
  <c r="L36" i="2" s="1"/>
  <c r="I109" i="1"/>
  <c r="F86" i="1"/>
  <c r="I86" i="1" s="1"/>
  <c r="F64" i="1"/>
  <c r="I64" i="1" s="1"/>
  <c r="I106" i="1"/>
  <c r="F40" i="2"/>
  <c r="F58" i="1"/>
  <c r="I58" i="1" s="1"/>
  <c r="K40" i="2"/>
  <c r="G40" i="2"/>
  <c r="E40" i="2"/>
  <c r="H40" i="2"/>
  <c r="J40" i="2"/>
  <c r="I107" i="1"/>
  <c r="F65" i="1"/>
  <c r="I65" i="1" s="1"/>
  <c r="C21" i="2"/>
  <c r="L40" i="2"/>
  <c r="I122" i="1"/>
  <c r="F81" i="1"/>
  <c r="I81" i="1" s="1"/>
  <c r="I120" i="1"/>
  <c r="F79" i="1"/>
  <c r="I79" i="1" s="1"/>
  <c r="F29" i="2"/>
  <c r="K29" i="2"/>
  <c r="L29" i="2"/>
  <c r="G29" i="2"/>
  <c r="H29" i="2"/>
  <c r="J29" i="2"/>
  <c r="I29" i="2"/>
  <c r="I60" i="1" l="1"/>
  <c r="C34" i="2" s="1"/>
  <c r="F34" i="2" s="1"/>
  <c r="I55" i="1"/>
  <c r="C32" i="2" s="1"/>
  <c r="L32" i="2" s="1"/>
  <c r="I103" i="1"/>
  <c r="C23" i="2" s="1"/>
  <c r="I36" i="2"/>
  <c r="J36" i="2"/>
  <c r="K36" i="2"/>
  <c r="F36" i="2"/>
  <c r="E36" i="2"/>
  <c r="G36" i="2"/>
  <c r="H36" i="2"/>
  <c r="K25" i="2"/>
  <c r="H25" i="2"/>
  <c r="J25" i="2"/>
  <c r="G25" i="2"/>
  <c r="F25" i="2"/>
  <c r="E25" i="2"/>
  <c r="L25" i="2"/>
  <c r="I25" i="2"/>
  <c r="J21" i="2"/>
  <c r="H21" i="2"/>
  <c r="K21" i="2"/>
  <c r="E21" i="2"/>
  <c r="I21" i="2"/>
  <c r="L21" i="2"/>
  <c r="G21" i="2"/>
  <c r="F21" i="2"/>
  <c r="B18" i="2"/>
  <c r="B16" i="2"/>
  <c r="B14" i="2"/>
  <c r="B12" i="2"/>
  <c r="B10" i="2"/>
  <c r="B7" i="2"/>
  <c r="A2" i="5"/>
  <c r="A1" i="5"/>
  <c r="G21" i="7"/>
  <c r="G22" i="7"/>
  <c r="G26" i="7"/>
  <c r="G20" i="7"/>
  <c r="G28" i="7" l="1"/>
  <c r="G78" i="1" s="1"/>
  <c r="H78" i="1" s="1"/>
  <c r="I78" i="1" s="1"/>
  <c r="G32" i="2"/>
  <c r="E32" i="2"/>
  <c r="F32" i="2"/>
  <c r="H32" i="2"/>
  <c r="J32" i="2"/>
  <c r="K32" i="2"/>
  <c r="L34" i="2"/>
  <c r="I32" i="2"/>
  <c r="I34" i="2"/>
  <c r="E34" i="2"/>
  <c r="K34" i="2"/>
  <c r="J34" i="2"/>
  <c r="H34" i="2"/>
  <c r="G34" i="2"/>
  <c r="E23" i="2"/>
  <c r="L23" i="2"/>
  <c r="H23" i="2"/>
  <c r="G23" i="2"/>
  <c r="F23" i="2"/>
  <c r="I23" i="2"/>
  <c r="K23" i="2"/>
  <c r="J23" i="2"/>
  <c r="F9" i="1"/>
  <c r="H9" i="1"/>
  <c r="A8" i="5"/>
  <c r="B8" i="5"/>
  <c r="A9" i="5"/>
  <c r="B9" i="5"/>
  <c r="A10" i="5"/>
  <c r="B10" i="5"/>
  <c r="A11" i="5"/>
  <c r="B11" i="5"/>
  <c r="A12" i="5"/>
  <c r="B12" i="5"/>
  <c r="A13" i="5"/>
  <c r="B13" i="5"/>
  <c r="B7" i="5"/>
  <c r="A7" i="5"/>
  <c r="D39" i="5"/>
  <c r="B39" i="5"/>
  <c r="H41" i="1"/>
  <c r="A22" i="5"/>
  <c r="A23" i="5"/>
  <c r="A24" i="5"/>
  <c r="A25" i="5"/>
  <c r="A26" i="5"/>
  <c r="A27" i="5"/>
  <c r="H32" i="1"/>
  <c r="D30" i="5"/>
  <c r="C30" i="5"/>
  <c r="A30" i="5"/>
  <c r="A31" i="5"/>
  <c r="A32" i="5"/>
  <c r="A33" i="5"/>
  <c r="A34" i="5"/>
  <c r="B30" i="5"/>
  <c r="B31" i="5"/>
  <c r="B32" i="5"/>
  <c r="B33" i="5"/>
  <c r="B34" i="5"/>
  <c r="C23" i="5"/>
  <c r="D23" i="5"/>
  <c r="B23" i="5"/>
  <c r="H25" i="1"/>
  <c r="B16" i="5"/>
  <c r="F18" i="1"/>
  <c r="H18" i="1"/>
  <c r="A16" i="5"/>
  <c r="F10" i="1"/>
  <c r="F11" i="1"/>
  <c r="D8" i="5"/>
  <c r="D9" i="5"/>
  <c r="H11" i="1"/>
  <c r="H10" i="1"/>
  <c r="I9" i="1" l="1"/>
  <c r="I18" i="1"/>
  <c r="I11" i="1"/>
  <c r="I10" i="1"/>
  <c r="G15" i="7"/>
  <c r="G14" i="7"/>
  <c r="G9" i="7"/>
  <c r="G8" i="7"/>
  <c r="G7" i="7"/>
  <c r="G6" i="7"/>
  <c r="G4" i="7"/>
  <c r="G16" i="7" l="1"/>
  <c r="G10" i="7"/>
  <c r="F13" i="1"/>
  <c r="F14" i="1"/>
  <c r="B37" i="5"/>
  <c r="B42" i="5"/>
  <c r="H33" i="1"/>
  <c r="H44" i="1"/>
  <c r="H26" i="1"/>
  <c r="D24" i="5"/>
  <c r="B24" i="5"/>
  <c r="H39" i="1"/>
  <c r="F47" i="1"/>
  <c r="E34" i="5"/>
  <c r="F36" i="1" s="1"/>
  <c r="E26" i="5"/>
  <c r="F28" i="1" s="1"/>
  <c r="F21" i="1"/>
  <c r="H40" i="1"/>
  <c r="H42" i="1"/>
  <c r="H45" i="1"/>
  <c r="H46" i="1"/>
  <c r="H47" i="1"/>
  <c r="H48" i="1"/>
  <c r="H34" i="1"/>
  <c r="H35" i="1"/>
  <c r="H36" i="1"/>
  <c r="H27" i="1"/>
  <c r="H28" i="1"/>
  <c r="H29" i="1"/>
  <c r="H23" i="1"/>
  <c r="H13" i="1"/>
  <c r="H14" i="1"/>
  <c r="H15" i="1"/>
  <c r="G38" i="1" l="1"/>
  <c r="G77" i="1"/>
  <c r="H77" i="1" s="1"/>
  <c r="I77" i="1" s="1"/>
  <c r="G119" i="1"/>
  <c r="H119" i="1" s="1"/>
  <c r="I119" i="1" s="1"/>
  <c r="G43" i="1"/>
  <c r="H43" i="1" s="1"/>
  <c r="G124" i="1"/>
  <c r="H124" i="1" s="1"/>
  <c r="I124" i="1" s="1"/>
  <c r="G83" i="1"/>
  <c r="H83" i="1" s="1"/>
  <c r="I83" i="1" s="1"/>
  <c r="F39" i="1"/>
  <c r="I39" i="1" s="1"/>
  <c r="E39" i="5"/>
  <c r="F41" i="1" s="1"/>
  <c r="I41" i="1" s="1"/>
  <c r="F27" i="1"/>
  <c r="I27" i="1" s="1"/>
  <c r="F34" i="1"/>
  <c r="I34" i="1" s="1"/>
  <c r="I14" i="1"/>
  <c r="I36" i="1"/>
  <c r="I47" i="1"/>
  <c r="I28" i="1"/>
  <c r="I13" i="1"/>
  <c r="E31" i="5"/>
  <c r="F33" i="1" s="1"/>
  <c r="I33" i="1" s="1"/>
  <c r="E24" i="5"/>
  <c r="F26" i="1" s="1"/>
  <c r="I26" i="1" s="1"/>
  <c r="E27" i="5"/>
  <c r="F29" i="1" s="1"/>
  <c r="I29" i="1" s="1"/>
  <c r="F48" i="1"/>
  <c r="I48" i="1" s="1"/>
  <c r="F43" i="1"/>
  <c r="F42" i="1"/>
  <c r="I42" i="1" s="1"/>
  <c r="F32" i="1"/>
  <c r="I32" i="1" s="1"/>
  <c r="F20" i="1"/>
  <c r="D46" i="1"/>
  <c r="D27" i="5"/>
  <c r="B27" i="5"/>
  <c r="D26" i="5"/>
  <c r="B26" i="5"/>
  <c r="D25" i="5"/>
  <c r="B25" i="5"/>
  <c r="D22" i="5"/>
  <c r="B22" i="5"/>
  <c r="H24" i="1"/>
  <c r="H20" i="1"/>
  <c r="A18" i="5"/>
  <c r="B18" i="5"/>
  <c r="D18" i="5"/>
  <c r="I43" i="1" l="1"/>
  <c r="I118" i="1"/>
  <c r="I76" i="1"/>
  <c r="F40" i="1"/>
  <c r="I40" i="1" s="1"/>
  <c r="I20" i="1"/>
  <c r="F24" i="1"/>
  <c r="I24" i="1" s="1"/>
  <c r="E23" i="5"/>
  <c r="F25" i="1" s="1"/>
  <c r="I25" i="1" s="1"/>
  <c r="F45" i="1"/>
  <c r="I45" i="1" s="1"/>
  <c r="E42" i="5"/>
  <c r="F44" i="1" s="1"/>
  <c r="I44" i="1" s="1"/>
  <c r="H31" i="1"/>
  <c r="I94" i="1" l="1"/>
  <c r="C38" i="2"/>
  <c r="C27" i="2"/>
  <c r="I132" i="1"/>
  <c r="H19" i="1"/>
  <c r="H12" i="1"/>
  <c r="J38" i="2" l="1"/>
  <c r="K38" i="2"/>
  <c r="E38" i="2"/>
  <c r="I38" i="2"/>
  <c r="F38" i="2"/>
  <c r="L38" i="2"/>
  <c r="G38" i="2"/>
  <c r="H38" i="2"/>
  <c r="J27" i="2"/>
  <c r="F27" i="2"/>
  <c r="K27" i="2"/>
  <c r="H27" i="2"/>
  <c r="I27" i="2"/>
  <c r="L27" i="2"/>
  <c r="E27" i="2"/>
  <c r="G27" i="2"/>
  <c r="C46" i="1"/>
  <c r="F23" i="1" l="1"/>
  <c r="F15" i="1"/>
  <c r="I15" i="1" s="1"/>
  <c r="E44" i="5" l="1"/>
  <c r="F46" i="1" s="1"/>
  <c r="I46" i="1" s="1"/>
  <c r="E33" i="5" l="1"/>
  <c r="F35" i="1" s="1"/>
  <c r="I35" i="1" s="1"/>
  <c r="F52" i="1" l="1"/>
  <c r="F38" i="1"/>
  <c r="F31" i="1"/>
  <c r="F19" i="1"/>
  <c r="F12" i="1"/>
  <c r="I12" i="1" s="1"/>
  <c r="I8" i="1" s="1"/>
  <c r="D46" i="5"/>
  <c r="D38" i="5"/>
  <c r="D37" i="5" s="1"/>
  <c r="D40" i="5"/>
  <c r="D41" i="5"/>
  <c r="D43" i="5"/>
  <c r="D44" i="5"/>
  <c r="D45" i="5"/>
  <c r="D36" i="5"/>
  <c r="D32" i="5"/>
  <c r="D33" i="5"/>
  <c r="D34" i="5"/>
  <c r="D29" i="5"/>
  <c r="D21" i="5"/>
  <c r="D17" i="5"/>
  <c r="D19" i="5"/>
  <c r="D11" i="5"/>
  <c r="D12" i="5"/>
  <c r="D13" i="5"/>
  <c r="D10" i="5"/>
  <c r="B50" i="5"/>
  <c r="A19" i="5"/>
  <c r="B19" i="5"/>
  <c r="B47" i="1"/>
  <c r="H21" i="1"/>
  <c r="C7" i="2" l="1"/>
  <c r="K7" i="2" s="1"/>
  <c r="I21" i="1"/>
  <c r="A20" i="5"/>
  <c r="A21" i="5"/>
  <c r="A28" i="5"/>
  <c r="A29" i="5"/>
  <c r="A35" i="5"/>
  <c r="A36" i="5"/>
  <c r="A49" i="5"/>
  <c r="B36" i="5"/>
  <c r="B38" i="5"/>
  <c r="B40" i="5"/>
  <c r="B41" i="5"/>
  <c r="B43" i="5"/>
  <c r="B44" i="5"/>
  <c r="B45" i="5"/>
  <c r="B46" i="5"/>
  <c r="B49" i="5"/>
  <c r="B28" i="5"/>
  <c r="B29" i="5"/>
  <c r="B35" i="5"/>
  <c r="B15" i="5"/>
  <c r="B17" i="5"/>
  <c r="B20" i="5"/>
  <c r="B21" i="5"/>
  <c r="A15" i="5"/>
  <c r="A17" i="5"/>
  <c r="J7" i="2" l="1"/>
  <c r="L7" i="2"/>
  <c r="I7" i="2"/>
  <c r="H52" i="1"/>
  <c r="H38" i="1"/>
  <c r="I52" i="1" l="1"/>
  <c r="I51" i="1" s="1"/>
  <c r="C18" i="2" s="1"/>
  <c r="L18" i="2" l="1"/>
  <c r="I23" i="1"/>
  <c r="I18" i="2" l="1"/>
  <c r="K18" i="2"/>
  <c r="F18" i="2"/>
  <c r="E18" i="2"/>
  <c r="H18" i="2"/>
  <c r="J18" i="2"/>
  <c r="G18" i="2"/>
  <c r="I22" i="1"/>
  <c r="C12" i="2" s="1"/>
  <c r="I31" i="1"/>
  <c r="K12" i="2" l="1"/>
  <c r="I30" i="1"/>
  <c r="C14" i="2" l="1"/>
  <c r="J12" i="2"/>
  <c r="L12" i="2"/>
  <c r="I12" i="2"/>
  <c r="H12" i="2"/>
  <c r="I19" i="1"/>
  <c r="I17" i="1" s="1"/>
  <c r="C10" i="2" l="1"/>
  <c r="L14" i="2"/>
  <c r="K14" i="2"/>
  <c r="I14" i="2"/>
  <c r="J14" i="2"/>
  <c r="I38" i="1"/>
  <c r="I37" i="1" s="1"/>
  <c r="I53" i="1" l="1"/>
  <c r="I133" i="1" s="1"/>
  <c r="C16" i="2"/>
  <c r="L10" i="2"/>
  <c r="K10" i="2"/>
  <c r="I10" i="2"/>
  <c r="G10" i="2"/>
  <c r="E10" i="2"/>
  <c r="H10" i="2"/>
  <c r="J10" i="2"/>
  <c r="H14" i="2"/>
  <c r="G7" i="2"/>
  <c r="H7" i="2"/>
  <c r="F7" i="2"/>
  <c r="J16" i="2" l="1"/>
  <c r="J42" i="2" s="1"/>
  <c r="K16" i="2"/>
  <c r="K42" i="2" s="1"/>
  <c r="L16" i="2"/>
  <c r="L42" i="2" s="1"/>
  <c r="E16" i="2"/>
  <c r="G16" i="2"/>
  <c r="H16" i="2"/>
  <c r="H42" i="2" s="1"/>
  <c r="F16" i="2"/>
  <c r="I16" i="2"/>
  <c r="I42" i="2" s="1"/>
  <c r="G12" i="2"/>
  <c r="F10" i="2"/>
  <c r="E7" i="2" l="1"/>
  <c r="G14" i="2" l="1"/>
  <c r="G42" i="2" s="1"/>
  <c r="E14" i="2"/>
  <c r="F14" i="2"/>
  <c r="E12" i="2"/>
  <c r="F12" i="2"/>
  <c r="L4" i="2"/>
  <c r="F42" i="2" l="1"/>
  <c r="E42" i="2"/>
  <c r="D40" i="2"/>
  <c r="D38" i="2"/>
  <c r="D34" i="2"/>
  <c r="D36" i="2"/>
  <c r="D29" i="2"/>
  <c r="D32" i="2"/>
  <c r="D21" i="2"/>
  <c r="D27" i="2"/>
  <c r="D25" i="2"/>
  <c r="D23" i="2"/>
  <c r="D18" i="2"/>
  <c r="D16" i="2"/>
  <c r="D14" i="2"/>
  <c r="D10" i="2"/>
  <c r="D7" i="2"/>
  <c r="D12" i="2"/>
  <c r="K43" i="2" l="1"/>
  <c r="G43" i="2"/>
  <c r="H43" i="2"/>
  <c r="F43" i="2"/>
  <c r="E43" i="2"/>
  <c r="I43" i="2"/>
  <c r="L43" i="2" l="1"/>
  <c r="J43" i="2"/>
</calcChain>
</file>

<file path=xl/sharedStrings.xml><?xml version="1.0" encoding="utf-8"?>
<sst xmlns="http://schemas.openxmlformats.org/spreadsheetml/2006/main" count="676" uniqueCount="312">
  <si>
    <t>ITEM</t>
  </si>
  <si>
    <t>SERVIÇOS PRELIMINARES</t>
  </si>
  <si>
    <t>1.1</t>
  </si>
  <si>
    <t>%</t>
  </si>
  <si>
    <t>1.2</t>
  </si>
  <si>
    <t>1.3</t>
  </si>
  <si>
    <t>2.1</t>
  </si>
  <si>
    <t>3.1</t>
  </si>
  <si>
    <t>DESCRIMINAÇÃO DE SERVIÇOS</t>
  </si>
  <si>
    <t>UNID.</t>
  </si>
  <si>
    <t>QUANT.</t>
  </si>
  <si>
    <t>TOTAL GERAL</t>
  </si>
  <si>
    <t>SERVIÇO</t>
  </si>
  <si>
    <t>TOTAL DO SERVIÇO</t>
  </si>
  <si>
    <t>PERÍODO</t>
  </si>
  <si>
    <t>30 Dias</t>
  </si>
  <si>
    <t>60 Dias</t>
  </si>
  <si>
    <t>TOTAL MENSAL (R$)</t>
  </si>
  <si>
    <t>TOTAL MENSAL ACUMULADO (R$)</t>
  </si>
  <si>
    <t>2.2</t>
  </si>
  <si>
    <t>TOTAL</t>
  </si>
  <si>
    <t>90 Dias</t>
  </si>
  <si>
    <t>SERVIÇOS COMPLEMENTARES</t>
  </si>
  <si>
    <t>PLANILHA ORÇAMENTÁRIA</t>
  </si>
  <si>
    <t>PREÇO UNITÁRIO</t>
  </si>
  <si>
    <t>PREÇO UNITÁRIO + BDI</t>
  </si>
  <si>
    <t>R$ TOTAL GERAL</t>
  </si>
  <si>
    <t>LOCAÇÃO CONVENCIONAL DE OBRA</t>
  </si>
  <si>
    <t>LIMPEZA GERAL DA OBRA</t>
  </si>
  <si>
    <t>M</t>
  </si>
  <si>
    <t>KG</t>
  </si>
  <si>
    <t>1.4</t>
  </si>
  <si>
    <t>120 Dias</t>
  </si>
  <si>
    <t>1.5</t>
  </si>
  <si>
    <t>MÊS</t>
  </si>
  <si>
    <t>2.3</t>
  </si>
  <si>
    <t>TERRAPLENAGEM</t>
  </si>
  <si>
    <t>INFRAESTRUTURA</t>
  </si>
  <si>
    <t>MESOESTRUTURA</t>
  </si>
  <si>
    <t>CÁLCULO</t>
  </si>
  <si>
    <t>MEMORIAL DE CÁLCULO</t>
  </si>
  <si>
    <t>PLACA DE IDENTIFICAÇÃO DE OBRA</t>
  </si>
  <si>
    <t>LOCAÇÃO DE CONTAINER PARA ESCRITÓRIO</t>
  </si>
  <si>
    <t>M2</t>
  </si>
  <si>
    <t>M3</t>
  </si>
  <si>
    <t>2.4</t>
  </si>
  <si>
    <t>CONCRETO USINADO FCK=25 MPA PARA BOMBEAMENTO</t>
  </si>
  <si>
    <t>PINTURA EPÓXI BICOMPONENTE EM ESTRUTURAS METÁLICAS</t>
  </si>
  <si>
    <t>APARELHO DE APOIO EM NEOPRENE FRETADO</t>
  </si>
  <si>
    <t>TELHA-FÔRMA EM CHAPA DE AÇO ZINCADO (STEEL DECK), E = 0,80 MM, SEM PINTURA</t>
  </si>
  <si>
    <t>DM3</t>
  </si>
  <si>
    <t>A QUANTIDADE DO ÍTEM 4.2</t>
  </si>
  <si>
    <t>ÍDEM ITEM 5.6</t>
  </si>
  <si>
    <t>BARREIRA NEW JERSEY</t>
  </si>
  <si>
    <t>150 Dias</t>
  </si>
  <si>
    <t>ESCAVAÇÃO E CARGA EM MATERIAL DE 2ª CATEGORIA</t>
  </si>
  <si>
    <t>LOCAÇÃO DE CONTAINER PARA DEPÓSITO</t>
  </si>
  <si>
    <t xml:space="preserve">LANÇAMENTO/BOMBEAMENTO DE CONCRETO </t>
  </si>
  <si>
    <t>ARMAÇÃO EM BARRA DE AÇO CA-50</t>
  </si>
  <si>
    <t>CPU-01</t>
  </si>
  <si>
    <t>SICRO</t>
  </si>
  <si>
    <t>CÓDIGO</t>
  </si>
  <si>
    <t>SUPERESTRUTURA</t>
  </si>
  <si>
    <t xml:space="preserve">LANÇAMENTO/APLICAÇÃO DO CONCRETO </t>
  </si>
  <si>
    <t>P9801</t>
  </si>
  <si>
    <t>DATA EMISSÃO: NOVEMBRO DE 2023</t>
  </si>
  <si>
    <t>CRONOGRAMA FISICO-FINANCEIRO</t>
  </si>
  <si>
    <t>SINAPI</t>
  </si>
  <si>
    <t>H</t>
  </si>
  <si>
    <t>T</t>
  </si>
  <si>
    <t>3.2</t>
  </si>
  <si>
    <t>3.3</t>
  </si>
  <si>
    <t>3.4</t>
  </si>
  <si>
    <t>3.5</t>
  </si>
  <si>
    <t>PONTE BRANCA DE MADEIRA – PLATAFORMA DE TRABALHO</t>
  </si>
  <si>
    <t>A QUANTIDADE DO ÍTEM 3.3</t>
  </si>
  <si>
    <t>ÁREA DA PONTE * 0,20M DE ESPESSURA DO TABULEIRO + 5% DE PERDA</t>
  </si>
  <si>
    <t xml:space="preserve">ÁREA TOTAL DO TABULEIRO, INCLUINDO 1 M EM CADA LADO + PERIMETRO DOS BALDRAMES * 2 BALDRAMES </t>
  </si>
  <si>
    <t xml:space="preserve">VOLUME DE CONCRETO * TAXA DE ARMADURA ESTIMADA EM 100 KG/M³ </t>
  </si>
  <si>
    <t>VOLUME DE CONCRETO * TAXA DE ARMADURA ESTIMADA EM 100 KG/M³</t>
  </si>
  <si>
    <t>QUANTIDADE DE AÇO DA ESTRUTURA * COEFICIENTE DE 0,035M²/KG</t>
  </si>
  <si>
    <t>VOLUME DE CONCRETO * 2,4TON/M³</t>
  </si>
  <si>
    <t xml:space="preserve">CARGA, TRANSPORTE E DESCARGA DE CONCRETO </t>
  </si>
  <si>
    <t>REFERÊNCIA</t>
  </si>
  <si>
    <t>UNIDADE:</t>
  </si>
  <si>
    <t xml:space="preserve">CÓDIGO </t>
  </si>
  <si>
    <t>DESCRIÇÃO</t>
  </si>
  <si>
    <t>COEF.</t>
  </si>
  <si>
    <t>CUSTO UNIT.</t>
  </si>
  <si>
    <t>SUBTOTAL</t>
  </si>
  <si>
    <t>PREÇO UNITÁRIO TOTAL SEM BDI</t>
  </si>
  <si>
    <t>CPU-02</t>
  </si>
  <si>
    <t>E9686</t>
  </si>
  <si>
    <t>CAMINHÃO CARROCERIA</t>
  </si>
  <si>
    <t>AJUDANTE</t>
  </si>
  <si>
    <t>P9830</t>
  </si>
  <si>
    <t>MONTADOR</t>
  </si>
  <si>
    <t>AÇO EM PERFIS ASTM A36/A572</t>
  </si>
  <si>
    <t>CORTE COM MAÇARICO OXIACETILENO</t>
  </si>
  <si>
    <t>CM2</t>
  </si>
  <si>
    <t>SOLDA ELÉTRICA DE PERFIS MET. E CH. DE AÇO C/ ELETRODO E70XX</t>
  </si>
  <si>
    <t>FUNDO PREPARADOR PRIMER EPÓXI 75 MICRAS</t>
  </si>
  <si>
    <t>PRÉ-LAJE EM CHAPA DE AÇO GALVANIZADO AUTOPORTANTE TIPO STEEL DECK #0,80MM</t>
  </si>
  <si>
    <t>MONTADOR DE ESTRUTURA METÁLICA</t>
  </si>
  <si>
    <t>PRÓPRIA</t>
  </si>
  <si>
    <t>PROJETO EXECUTIVO ESTRUTURAL</t>
  </si>
  <si>
    <t>SBC</t>
  </si>
  <si>
    <t>EQUIPE DE SERVIÇO DE TOPOGRAFIA</t>
  </si>
  <si>
    <t>DESMOLDAGEM DE FORMAS EM COMPENSADO</t>
  </si>
  <si>
    <t>MÃO DE OBRA DE MONTAGEM DA ESTRUTURA DO ITEM 5.1</t>
  </si>
  <si>
    <t>CPU-03</t>
  </si>
  <si>
    <t>ÁREA DE TABULEIRO DA PONTE</t>
  </si>
  <si>
    <t>180 Dias</t>
  </si>
  <si>
    <t>2.5</t>
  </si>
  <si>
    <t>CPU-05</t>
  </si>
  <si>
    <t>ADMINISTRAÇÃO LOCAL DA OBRA</t>
  </si>
  <si>
    <t>PROJETO DE FUNDAÇÕES</t>
  </si>
  <si>
    <t>FORMA DE MADEIRA COMPENSADA 12MM</t>
  </si>
  <si>
    <t>PREFEITURA MUNICIPAL DE MATEUS LEME - MG</t>
  </si>
  <si>
    <t>CONSTRUÇÃO DE DUAS PONTES E UM VIADUTO - Estruturas em aço e concreto</t>
  </si>
  <si>
    <t>BDI  (%)</t>
  </si>
  <si>
    <t>210 Dias</t>
  </si>
  <si>
    <t>240 Dias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</si>
  <si>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</si>
  <si>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</si>
  <si>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</si>
  <si>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</si>
  <si>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</si>
  <si>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</si>
  <si>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</si>
  <si>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</si>
  <si>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</si>
  <si>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</si>
  <si>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</si>
  <si>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</si>
  <si>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1.3.3</t>
  </si>
  <si>
    <t>1.3.4</t>
  </si>
  <si>
    <t>1.3.5</t>
  </si>
  <si>
    <t>1.3.6</t>
  </si>
  <si>
    <t>1.4.1</t>
  </si>
  <si>
    <t>1.4.2</t>
  </si>
  <si>
    <t>1.4.3</t>
  </si>
  <si>
    <t>1.4.4</t>
  </si>
  <si>
    <t>1.4.5</t>
  </si>
  <si>
    <t>1.4.6</t>
  </si>
  <si>
    <t>1.4.7</t>
  </si>
  <si>
    <t>1.5.1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</si>
  <si>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</si>
  <si>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</si>
  <si>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</si>
  <si>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</si>
  <si>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</si>
  <si>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</si>
  <si>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</si>
  <si>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</si>
  <si>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2.2.5</t>
  </si>
  <si>
    <t>2.2.6</t>
  </si>
  <si>
    <t>2.3.1</t>
  </si>
  <si>
    <t>2.3.2</t>
  </si>
  <si>
    <t>2.3.3</t>
  </si>
  <si>
    <t>2.3.4</t>
  </si>
  <si>
    <t>2.3.5</t>
  </si>
  <si>
    <t>2.3.6</t>
  </si>
  <si>
    <t>2.4.1</t>
  </si>
  <si>
    <t>2.4.2</t>
  </si>
  <si>
    <t>2.4.3</t>
  </si>
  <si>
    <t>2.4.4</t>
  </si>
  <si>
    <t>2.4.5</t>
  </si>
  <si>
    <t>2.4.6</t>
  </si>
  <si>
    <t>2.4.7</t>
  </si>
  <si>
    <t>2.5.1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</si>
  <si>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</si>
  <si>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</si>
  <si>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</si>
  <si>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</si>
  <si>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</si>
  <si>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</si>
  <si>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</si>
  <si>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</si>
  <si>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</si>
  <si>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</si>
  <si>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3.3.1</t>
  </si>
  <si>
    <t>3.3.2</t>
  </si>
  <si>
    <t>3.3.3</t>
  </si>
  <si>
    <t>3.3.4</t>
  </si>
  <si>
    <t>3.3.5</t>
  </si>
  <si>
    <t>3.3.6</t>
  </si>
  <si>
    <t>3.4.1</t>
  </si>
  <si>
    <t>3.4.2</t>
  </si>
  <si>
    <t>3.4.3</t>
  </si>
  <si>
    <t>3.4.4</t>
  </si>
  <si>
    <t>3.4.5</t>
  </si>
  <si>
    <t>3.4.6</t>
  </si>
  <si>
    <t>3.4.7</t>
  </si>
  <si>
    <t>3.5.1</t>
  </si>
  <si>
    <t>0.1</t>
  </si>
  <si>
    <t>0.1.1</t>
  </si>
  <si>
    <t>0.1.2</t>
  </si>
  <si>
    <t>0.1.3</t>
  </si>
  <si>
    <t>0.1.4</t>
  </si>
  <si>
    <t>0.1.5</t>
  </si>
  <si>
    <t>0.1.6</t>
  </si>
  <si>
    <t>0.1.7</t>
  </si>
  <si>
    <t>1.2.7</t>
  </si>
  <si>
    <t>1.4.8</t>
  </si>
  <si>
    <t>1.4.9</t>
  </si>
  <si>
    <t>1.4.10</t>
  </si>
  <si>
    <t>1.4.11</t>
  </si>
  <si>
    <t>1.4.12</t>
  </si>
  <si>
    <t>2.2.7</t>
  </si>
  <si>
    <t>2.4.8</t>
  </si>
  <si>
    <t>2.4.9</t>
  </si>
  <si>
    <t>2.4.10</t>
  </si>
  <si>
    <t>2.4.11</t>
  </si>
  <si>
    <t>2.4.12</t>
  </si>
  <si>
    <t>2.4.13</t>
  </si>
  <si>
    <t>3.2.7</t>
  </si>
  <si>
    <t>3.4.8</t>
  </si>
  <si>
    <t>3.4.9</t>
  </si>
  <si>
    <t>3.4.10</t>
  </si>
  <si>
    <t>3.4.11</t>
  </si>
  <si>
    <t>8 MESES DE OBRA</t>
  </si>
  <si>
    <t>1 CONTAINER POR OBRA * 8 MESES DE OBRA * 3 OBRAS</t>
  </si>
  <si>
    <t>ÁREA DA PLACA EQUIVALENTE A 2,00M * 3,00M * 3 PLACAS</t>
  </si>
  <si>
    <t>22 DIAS DE SERVIÇO POR MÊS * 8 MESES DE UTILIZAÇÃO * 8 HORAS DE TRABALHO POR DIA * 3 OBRAS</t>
  </si>
  <si>
    <t>15 DIAS NECESSÁRIOS PARA OS SERVIÇOS DE TOPOGRAFIA</t>
  </si>
  <si>
    <t>0,31DM * 4,0DM * 3,0DM * 2 APARELHOS POR VIGA * 2 VIGAS</t>
  </si>
  <si>
    <t>ÁREA DE 10X10M EM CADA CABECEIRA X 2 CABECEIRAS</t>
  </si>
  <si>
    <t xml:space="preserve">ÁREA DE BALDRAME ESTENDIDA EM 1,00M POR MOTIVOS DE SEGURANÇA DE 125,05M² * 4,00M ALTURA DA CABECEIRA *  2 CABECEIRAS </t>
  </si>
  <si>
    <t>48,02M DE PERIMETRO DE BALDRAME * 0,25M DE ALTURA * 2 BALDRAMES + 10% DE PERDAS</t>
  </si>
  <si>
    <t>73,03M² DE ÁREA DO BALDRAME *  0,25M DE ALTURA * 2 BALDRAMES + 10% DE PERDAS</t>
  </si>
  <si>
    <t>0,31DM * 4,0DM * 3,0DM * 2 APARELHOS POR VIGA * 4 VIGAS</t>
  </si>
  <si>
    <t>QUANTIDADE DE BARRAS DE AÇO * 5,00M DE LARGURA DA PONTE * PESO DO AÇO (KG/M) 
QUANTIDADE DE PEÇAS DE TRELIÇA * 6,00M DE LARGURA DA PONTE * PESO DO AÇO
PESO DA TELA POR M² * 2 CAMADAS DE TELA * ÁREA DO TABULEIRO DA PONTE</t>
  </si>
  <si>
    <t>A QUANTIDADE DO ÍTEM 1.2.5</t>
  </si>
  <si>
    <t>A QUANTIDADE DO ÍTEM 1.3.4</t>
  </si>
  <si>
    <t>ÍDEM ITEM 1.4.9</t>
  </si>
  <si>
    <t>A QUANTIDADE DO ÍTEM 2.2.5</t>
  </si>
  <si>
    <t>ÁREA DE 10X15M EM CADA CABECEIRA X 2 CABECEIRAS</t>
  </si>
  <si>
    <t>15,00M DE COMPRIMENTO DA PONTE * 2 LADOS</t>
  </si>
  <si>
    <t xml:space="preserve">VIGAS LONGITUDINAIS - 4.650,00KG 
CHAPAS DE NERVURA - 160,00KG
CHAPAS DE LIGAÇÃO - 215,00KG
CHAPAS DE CONTRAVENTO - 40,00KG
CONECTORES - 70,00KG
TRANSVERSINAS - 750,00KG
CONTRAVENTOS - 150,00KG
CHAPAS DE BORDA - 300,00KG
CHAPAS DE DILATAÇÃO - 150,00KG
TOTAL PARA A PONTE COMPLETA COM 5% DESTINADOS A SOLDAS, PARAFUSOS, LIGAÇÕES E PERDAS </t>
  </si>
  <si>
    <t>COMPRIMENTO DA PONTE COM FOLGA DE 2M DE CADA LADO POR SEGURANÇA * LARGURA DA PONTE DE SERVIÇO * 1,00M DE ALTURA - PLATAFORMA PARA PROTEÇÃO DE VIA INFERIOR A PONTE</t>
  </si>
  <si>
    <t>REFERENCIAS: SINAPI: 10/2023 | SICRO: 07/2023 | SBC: 11/2023</t>
  </si>
  <si>
    <t>MONTAGEM DE PERFIL AÇO ASTM A572/A36 + FIXAÇÕES</t>
  </si>
  <si>
    <t>JATEAMENTO DE ESTRUTURA METÁLICA</t>
  </si>
  <si>
    <t>CALANDRAGEM DOS TUBOS</t>
  </si>
  <si>
    <t>TELHA-FÔRMA EM CHAPA DE AÇO ZINCADO (STEEL DECK), ESP. = 0,80 MM, SEM PINTURA</t>
  </si>
  <si>
    <t xml:space="preserve">ÁREA DE BALDRAME ESTENDIDA EM 1,00M POR MOTIVOS DE SEGURANÇA DE 125,05M² * 5,50M ALTURA DA CABECEIRA *  2 CABECEIRAS </t>
  </si>
  <si>
    <t xml:space="preserve">CONCRETO  AUTO ADENSÁVEL - FCK 30 MPA </t>
  </si>
  <si>
    <t>CONCRETO  AUTO ADENSÁVEL - FCK 30 MPA</t>
  </si>
  <si>
    <t xml:space="preserve">40 ESTACAS * 2,00M COMPRIMENTO DAS ESTACAS* 2 CABECEIRAS </t>
  </si>
  <si>
    <t>ALARGAMENTO DE PONTE MISTA 15,07x4,50m (TOTAL 15,07x7,77m)- BAIRRO CENTRAL</t>
  </si>
  <si>
    <t>VIADUTO 21,59x8,79m - BAIRRO CENTRAL</t>
  </si>
  <si>
    <t>PONTE MISTA 12,09x7,28m - BAIRRO SANTA CRUZ</t>
  </si>
  <si>
    <t>2.4.14</t>
  </si>
  <si>
    <t>ÁREA DO BLOCO PONTE 01 (2,25M²) * 2 BLOCOS + ÁREA DO BALDRAME PONTE 03 (70,53M²) * 2 BALDRAME</t>
  </si>
  <si>
    <t>ÁREA DO TABULEIRO PONTE 01 + ÁREA DO TABULEIRO PONTE 02 + ÁREA DO TABULEIRO PONTE 03</t>
  </si>
  <si>
    <t>ÁREA DO BLOCO DE 2,25M² * 4,00M DE ALTURA DA CABECEIRA *  2 BLOCOS</t>
  </si>
  <si>
    <t>PERIMETRO DO TABULEIRO + 6,00M PERIMETRO DOS BLOCOS * 2 BLOCOS</t>
  </si>
  <si>
    <t>6,00M DE PERIMETRO DOS BLOCOS * 1,00M DE ALTURA * 2 BLOCOS + 10% DE PERDAS</t>
  </si>
  <si>
    <t>2,25M² DE ÁREA DO BLOCO *  1,00M DE ALTURA * 2 BLOCOS + 10% DE PERDAS</t>
  </si>
  <si>
    <t>QUANTIDADE DE BARRAS DE AÇO * 4,50M DE LARGURA DA PONTE * PESO DO AÇO (KG/M) 
QUANTIDADE DE PEÇAS DE TRELIÇA * 4,50M DE LARGURA DA PONTE * PESO DO AÇO
PESO DA TELA POR M2 * 2 CAMADAS DE TELA * ÁREA DO TABULEIRO DA PONTE</t>
  </si>
  <si>
    <r>
      <t xml:space="preserve">VIGAS LONGITUDINAIS - 5.460,00KG 
CHAPAS DE NERVURA - 245,00KG
CHAPAS DE LIGAÇÃO - 290,00KG
CHAPAS DE CONTRAVENTO - 60,00kG
CONECTORES - 95,00KG
TRANSVERSINAS - 950,00KG
CONTRAVENTOS - 250,00KG
CHAPAS DE BORDA - 350,00KG
CHAPAS DE DILATAÇÃO - 250,00KG
GRADIL METÁLICO (35,00KG/M) - 425,00KG
</t>
    </r>
    <r>
      <rPr>
        <sz val="11"/>
        <color rgb="FFC00000"/>
        <rFont val="Arial"/>
        <family val="2"/>
      </rPr>
      <t xml:space="preserve">
</t>
    </r>
    <r>
      <rPr>
        <sz val="11"/>
        <rFont val="Arial"/>
        <family val="2"/>
      </rPr>
      <t xml:space="preserve">TOTAL PARA A PONTE COMPLETA COM 5% DESTINADOS A SOLDAS, PARAFUSOS, LIGAÇÕES E PERDAS </t>
    </r>
  </si>
  <si>
    <t>E9094</t>
  </si>
  <si>
    <t>GUINDASTE MOVEL</t>
  </si>
  <si>
    <t>FORNECIMENTO E MONTAGEM DE ESTRUTURA EM AÇO ASTM-A36, SEM PINTURA (TUBOS SCH 20 CALANDRADOS, Ø 273MM, ESPESSURA 6,35MM) - ARCOS ORNAMENTAIS</t>
  </si>
  <si>
    <t>ESTACA METÁLICA TRILHO TR-45</t>
  </si>
  <si>
    <t>5 ESTACAS POR BLOCO * 8,00M COMPRIMENTO DAS ESTACAS* 2 BLOCOS</t>
  </si>
  <si>
    <t>GRUPO GERADOR 55KVA - COND. D</t>
  </si>
  <si>
    <t>MICROESTACA INJETADA DIAM. 250MM PRESSÃO 8MPA</t>
  </si>
  <si>
    <t>VIGA METÁLICA EM PERFIL LAMINADO E/OU SOLDADO EM AÇO ESTRUTURAL, COM CONEXÕES PARAFUSADAS E/OU SOLDADAS - INCLUSIVE LANÇAMENTO COM COM GUINDASTE E PLANO RIGGING</t>
  </si>
  <si>
    <t>P9823</t>
  </si>
  <si>
    <t>SERRALHEIRO</t>
  </si>
  <si>
    <t>FORNECIMENTO E MONTAGEM DE ESTRUTURA EM AÇO ASTM-A36, SEM PINTURA (TUBOS SCH 20 CALANDRADOS, Ø 273MM, ESPESSURA 6,35MM)</t>
  </si>
  <si>
    <t>2.4.15</t>
  </si>
  <si>
    <t>ÁREA DA PONTE * 0,20M DE ESPESSURA DO TABULEIRO + LAJE DE APROXIMAÇÃO DE 8,79M*3,00M*0,20M*2 LADOS + 5% DE PERDA</t>
  </si>
  <si>
    <t xml:space="preserve">18 ESTACAS * 15,00M COMPRIMENTO DAS ESTACAS* 2 CABECEIRAS </t>
  </si>
  <si>
    <t>21,59M DE COMPRIMENTO DA PONTE, CONSIDERANDO 30,00M DE DESENVOLVIMENTO DE TUBOS DE Ø10" + 12 TUBOS DE Ø6" DE APOIO DE 4,50M DE ALTURA MÉDIA  * 2 LADOS DO VIADUTO</t>
  </si>
  <si>
    <t>21,59M DE COMPRIMENTO DA PONTE * 2 LADOS</t>
  </si>
  <si>
    <t>38,24 DE PERIMETRO DAS CABECEIRAS * 3,75M DE ALTURA * 2 CABECEIRAS + 22,56M DE PERIMETRO DA LAJE * 0,30M DE ESPESSURA * 2 LAJES + 10% DE PERDAS</t>
  </si>
  <si>
    <t>10,37M² DE ÁREA DAS CABECERIAS * 3,75M DE ALTURA * 2 CABECEIRAS + 29,12M² DE AREA DA LAJE * 0,30M DE ESPESSURA * 2 LAJES + 10% DE PERDAS</t>
  </si>
  <si>
    <t>12,09M DE COMPRIMENTO DA PONTE * 2 LADOS</t>
  </si>
  <si>
    <t>QUANTIDADE DE AÇO DA ESTRUTURA * COEFICIENTE DE 0,035M²/KG + PINTURA DA PASSARELA EXISTENTE (CONSIDERADO 200KG/M² DE ESTRUTURA - PASSARELA DE 15,07X1,50M X COEFICIENTE)</t>
  </si>
  <si>
    <t>LIMPEZA DE SUPERFICIE COM LAVA A JATO</t>
  </si>
  <si>
    <t>22,60M² DE ÁREA DA PASSARELA + 15,07M DE COMPRIMENT X 1,10M DE ALTURA X 2 LADOS DE GUARDA CORPO</t>
  </si>
  <si>
    <t>1.4.13</t>
  </si>
  <si>
    <t>REMOÇÃO DE DEFENSAS METÁLICAS</t>
  </si>
  <si>
    <t>15,07M DE COMPRIMENTO DA PONTE EXISTENTE * 1 LADO PARA SE REMOVER A DEFENSA EXISTENTE</t>
  </si>
  <si>
    <t>2.2.8</t>
  </si>
  <si>
    <t>ESTACA ESCAVADA Ø25</t>
  </si>
  <si>
    <t>25 ESTACAS POR MURO * 4 MUROS * 3,00M DE PROFUNDIDADE POR MURO</t>
  </si>
  <si>
    <t>DEMOLIÇÃO DE CONCRETO ARMADO</t>
  </si>
  <si>
    <t>M3XKM</t>
  </si>
  <si>
    <t xml:space="preserve">TRANSPORTE COM CAMINHÃO </t>
  </si>
  <si>
    <t>VOLUME DEMOLIDO + 30% DE EMPOLAMENTO * RAIO DE 20KM PARA DESCARGA DE MATERIAL</t>
  </si>
  <si>
    <t>DEMOLIÇÃO DE TABULEIRO DE ESTRUTURA EXISTENTE DE ÁREA CONSIDERADA DE 22,00X9,00M X 0,50M</t>
  </si>
  <si>
    <t>TRANSPORTE DEVOLUME DEMOLIDO + 30% DE EMPOLAMENTO * 20KM DE RAIO PARA DESCARGA DE MATERIAL</t>
  </si>
  <si>
    <t>A QUANTIDADE DA ESCAVAÇÃO * 30% DE EMPOLAMENTO * RAIO DE 10 KM PARA TRANSPORTE * 1,6TON/M3</t>
  </si>
  <si>
    <t>TRANSPORTE DE MATERIAL ESCAVADO</t>
  </si>
  <si>
    <t>A QUANTIDADE DO ÍTEM 3.3.4</t>
  </si>
  <si>
    <t>DEMOLIÇÃO DE PONTE EXISTENTE: 11,00X3,00M * 0,50M DE ESPESSURA DE TABULEIRO EXISTENTE + APOIOS 3,00M DE ALTURA * 4,00M DE LARGURA * 0,50M DE ESPESSURA DA PAREDE DE APOIO * 2 PAREDES + 2 VIGAS DE 11,00MX0,50X0,50M(ESTIMADO)</t>
  </si>
  <si>
    <t>MÃO DE OBRA DE MONTAGEM DA ESTRUTURA DO ITEM 3.4.1</t>
  </si>
  <si>
    <t>ÍDEM ITEM 3.4.8</t>
  </si>
  <si>
    <t>QUANTIDADE DE BARRAS DE AÇO * 7,28M DE LARGURA DA PONTE * PESO DO AÇO (KG/M) 
QUANTIDADE DE PEÇAS DE TRELIÇA * 7,28M DE LARGURA DA PONTE * PESO DO AÇO
PESO DA TELA POR M² * 2 CAMADAS DE TELA * ÁREA DO TABULEIRO DA PONTE</t>
  </si>
  <si>
    <r>
      <t xml:space="preserve">VIGAS LONGITUDINAIS - 12.528,00KG 
CHAPAS DE NERVURA - 322,00KG
CHAPAS DE LIGAÇÃO - 490,00KG
CHAPAS DE CONTRAVENTO - 110,00KG
CONECTORES - 160,00KG
TRANSVERSINAS - 1.600,00KG
CONTRAVENTOS - 450,00KG
CHAPAS DE BORDA - 420,000KG
CHAPAS DE DILATAÇÃO - 300,00KG
</t>
    </r>
    <r>
      <rPr>
        <sz val="11"/>
        <color rgb="FFC00000"/>
        <rFont val="Arial"/>
        <family val="2"/>
      </rPr>
      <t xml:space="preserve">
</t>
    </r>
    <r>
      <rPr>
        <sz val="11"/>
        <rFont val="Arial"/>
        <family val="2"/>
      </rPr>
      <t>TOTAL PARA A PONTE COM 5% DESTINADOS A SOLDAS, PARAFUSOS, LIGAÇÕES E PERDAS - 17.199,00KG</t>
    </r>
  </si>
  <si>
    <t>38,24 DE PERIMETRO DAS CABECEIRAS * 3,75M DE ALTURA * 2 CABECEIRAS + 26,16M DE PERIMETRO DAS LAJES DE TRANSIÇÃO * 0,30M DE ALTURA * 2 LAJES + 50,00M DE COMPRIMENTO DO MURO DE CONTEÇÃO * 1,80M DE ALTURA * 2 LADOS DO MURO * 4 MUROS + 10% DE PERDAS</t>
  </si>
  <si>
    <t>10,37M² DE ÁREA DAS CABECERIAS * 3,75M DE ALTURA * 2 CABECEIRAS + 36,32M² E ÁREA DA LAJE DE TRANSIÇÃO * 0,30M DE ESPESSURA * 2 LAJES + 50,00M * 1,80M DE ALTURA * 0,30M DE ESPESSURA * 4 MUROS DE CONTENÇÃO + 10% DE PERDAS</t>
  </si>
  <si>
    <t>3,15M DE PERIMETRO DOS PILARES DE APOIO * 3,00M DE ALTURA * 4 PILARES + 11,00M DE PERIMETRO DA TRANSVERSINA * 1,00M DE ALTURA * 2 VIGAS TRANSVERSINAS + 23,54M DE PERIMETRO DAS LAJES DE TRANSIÇÃO * 0,30M DE ALTURA * 2 LAJES + 6,50M DE PERIMETRO DE FORMA DE ALA A SER EXECUTADA * 4,10M DE ALTURA * 2 ALAS + 10% DE PERDAS</t>
  </si>
  <si>
    <t>0,79M² DE ÁREA DO PILAR * 3,00M DE ALTURA * 4 PILARES + 4,50M² DE ÁREA DA TRANSVERSINA * 1,00M DE ALTURA * 2 TRANSVERSINAS + 31,08M² DE ÁREA DA LAJE DE TRANSIÇÃO * 0,30M DE ESPESSURA * 2 LAJES + 1,50M² DE ÁREA DE ALA * 4,10M DE ALTURA * 2 ALAS + 10% DE PERDAS</t>
  </si>
  <si>
    <t>3.1.5</t>
  </si>
  <si>
    <t>3.1.6</t>
  </si>
  <si>
    <t>QUANTIDADE DE AÇO DA ESTRUTURA E DOS TUBOS CALANDRADOS * COEFICIENTE DE 0,035M²/KG</t>
  </si>
  <si>
    <t>TRANSPORTE COM CAMINHÃO - DEMOLIÇÃO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</si>
</sst>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ED56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7">
    <xf numFmtId="0" fontId="0" fillId="0" borderId="0" xfId="0"/>
    <xf numFmtId="44" fontId="5" fillId="2" borderId="1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43" fontId="1" fillId="2" borderId="1" xfId="0" applyNumberFormat="1" applyFont="1" applyFill="1" applyBorder="1" applyAlignment="1">
      <alignment horizontal="center" vertical="center"/>
    </xf>
    <xf numFmtId="44" fontId="1" fillId="0" borderId="1" xfId="3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43" fontId="1" fillId="0" borderId="0" xfId="0" applyNumberFormat="1" applyFont="1"/>
    <xf numFmtId="0" fontId="1" fillId="2" borderId="0" xfId="0" applyFont="1" applyFill="1"/>
    <xf numFmtId="44" fontId="1" fillId="0" borderId="0" xfId="0" applyNumberFormat="1" applyFont="1"/>
    <xf numFmtId="0" fontId="7" fillId="5" borderId="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4" fontId="16" fillId="0" borderId="21" xfId="8" applyFont="1" applyFill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44" fontId="15" fillId="0" borderId="24" xfId="8" applyFont="1" applyBorder="1" applyAlignment="1">
      <alignment vertical="center"/>
    </xf>
    <xf numFmtId="167" fontId="16" fillId="0" borderId="1" xfId="9" applyNumberFormat="1" applyFont="1" applyFill="1" applyBorder="1" applyAlignment="1">
      <alignment horizontal="center" vertical="center"/>
    </xf>
    <xf numFmtId="2" fontId="16" fillId="0" borderId="1" xfId="0" applyNumberFormat="1" applyFont="1" applyBorder="1"/>
    <xf numFmtId="0" fontId="16" fillId="0" borderId="1" xfId="0" applyFont="1" applyBorder="1" applyAlignment="1">
      <alignment horizontal="left" vertical="center" wrapText="1"/>
    </xf>
    <xf numFmtId="44" fontId="1" fillId="0" borderId="0" xfId="3" applyFont="1"/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vertical="top"/>
    </xf>
    <xf numFmtId="10" fontId="6" fillId="2" borderId="32" xfId="0" applyNumberFormat="1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44" fontId="4" fillId="8" borderId="21" xfId="3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44" fontId="1" fillId="2" borderId="21" xfId="3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44" fontId="5" fillId="2" borderId="21" xfId="3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44" fontId="6" fillId="7" borderId="24" xfId="3" applyFont="1" applyFill="1" applyBorder="1" applyAlignment="1">
      <alignment vertical="center"/>
    </xf>
    <xf numFmtId="44" fontId="6" fillId="7" borderId="36" xfId="3" applyFont="1" applyFill="1" applyBorder="1" applyAlignment="1">
      <alignment vertical="center"/>
    </xf>
    <xf numFmtId="44" fontId="6" fillId="7" borderId="21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0" borderId="0" xfId="0" applyFont="1"/>
    <xf numFmtId="0" fontId="3" fillId="0" borderId="10" xfId="4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44" fontId="3" fillId="6" borderId="1" xfId="3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right" vertical="center" wrapText="1"/>
    </xf>
    <xf numFmtId="164" fontId="19" fillId="7" borderId="5" xfId="0" applyNumberFormat="1" applyFont="1" applyFill="1" applyBorder="1" applyAlignment="1">
      <alignment vertical="center" wrapText="1"/>
    </xf>
    <xf numFmtId="0" fontId="20" fillId="6" borderId="26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2" fontId="13" fillId="0" borderId="21" xfId="0" applyNumberFormat="1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11" fillId="9" borderId="0" xfId="0" applyFont="1" applyFill="1"/>
    <xf numFmtId="167" fontId="16" fillId="0" borderId="3" xfId="9" applyNumberFormat="1" applyFont="1" applyFill="1" applyBorder="1" applyAlignment="1">
      <alignment horizontal="center" vertical="center"/>
    </xf>
    <xf numFmtId="2" fontId="16" fillId="0" borderId="3" xfId="0" applyNumberFormat="1" applyFont="1" applyBorder="1"/>
    <xf numFmtId="0" fontId="5" fillId="0" borderId="0" xfId="0" applyFont="1"/>
    <xf numFmtId="2" fontId="1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33" xfId="5" applyFont="1" applyFill="1" applyBorder="1" applyAlignment="1">
      <alignment horizontal="right" vertical="center"/>
    </xf>
    <xf numFmtId="0" fontId="6" fillId="7" borderId="34" xfId="5" applyFont="1" applyFill="1" applyBorder="1" applyAlignment="1">
      <alignment horizontal="right" vertical="center"/>
    </xf>
    <xf numFmtId="0" fontId="6" fillId="7" borderId="35" xfId="5" applyFont="1" applyFill="1" applyBorder="1" applyAlignment="1">
      <alignment horizontal="right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30" xfId="5" applyFont="1" applyFill="1" applyBorder="1" applyAlignment="1">
      <alignment horizontal="right" vertical="center"/>
    </xf>
    <xf numFmtId="0" fontId="6" fillId="7" borderId="25" xfId="5" applyFont="1" applyFill="1" applyBorder="1" applyAlignment="1">
      <alignment horizontal="right" vertical="center"/>
    </xf>
    <xf numFmtId="0" fontId="6" fillId="7" borderId="5" xfId="5" applyFont="1" applyFill="1" applyBorder="1" applyAlignment="1">
      <alignment horizontal="right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1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3" fillId="0" borderId="8" xfId="4" applyBorder="1" applyAlignment="1">
      <alignment horizontal="center" vertical="center" wrapText="1"/>
    </xf>
    <xf numFmtId="0" fontId="3" fillId="0" borderId="10" xfId="4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165" fontId="12" fillId="7" borderId="1" xfId="2" applyNumberFormat="1" applyFont="1" applyFill="1" applyBorder="1" applyAlignment="1">
      <alignment horizontal="center" vertical="center" wrapText="1"/>
    </xf>
    <xf numFmtId="10" fontId="12" fillId="7" borderId="1" xfId="1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left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right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44" fontId="3" fillId="0" borderId="1" xfId="3" applyFont="1" applyFill="1" applyBorder="1" applyAlignment="1">
      <alignment horizontal="left" vertical="center"/>
    </xf>
    <xf numFmtId="0" fontId="15" fillId="0" borderId="22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</cellXfs>
  <cellStyles count="10">
    <cellStyle name="Moeda" xfId="3" builtinId="4"/>
    <cellStyle name="Moeda 2" xfId="6"/>
    <cellStyle name="Moeda 2 2" xfId="8"/>
    <cellStyle name="Normal" xfId="0" builtinId="0"/>
    <cellStyle name="Normal 2" xfId="4"/>
    <cellStyle name="Normal 2_Cópia de PL-01618-001-REV00 -Planilha Orçamentária- alterada" xfId="5"/>
    <cellStyle name="Porcentagem" xfId="1" builtinId="5"/>
    <cellStyle name="Vírgula" xfId="2" builtinId="3"/>
    <cellStyle name="Vírgula 2 2" xfId="7"/>
    <cellStyle name="Vírgula 2 2 2" xfId="9"/>
  </cellStyles>
  <dxfs count="0"/>
  <tableStyles count="0" defaultTableStyle="TableStyleMedium2" defaultPivotStyle="PivotStyleLight16"/>
  <colors>
    <mruColors>
      <color rgb="FF9ED561"/>
      <color rgb="FF0066FF"/>
      <color rgb="FF66C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2330825</xdr:colOff>
      <xdr:row>0</xdr:row>
      <xdr:rowOff>67236</xdr:rowOff>
    </xdr:from>
    <xdr:to>
      <xdr:col>1</xdr:col>
      <xdr:colOff>3661788</xdr:colOff>
      <xdr:row>2</xdr:row>
      <xdr:rowOff>257736</xdr:rowOff>
    </xdr:to>
    <xdr:pic>
      <xdr:nvPicPr>
        <xdr:cNvPr id="4" name="Imagem 3" descr="Mateus Leme - Informações sobre o município e a prefeitura">
          <a:extLst>
            <a:ext uri="{FF2B5EF4-FFF2-40B4-BE49-F238E27FC236}">
              <a16:creationId xmlns:a16="http://schemas.microsoft.com/office/drawing/2014/main" xmlns="" id="{A738AE22-59A9-34DA-1B52-5D50A9CE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1" y="67236"/>
          <a:ext cx="1330963" cy="85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1160930</xdr:colOff>
      <xdr:row>0</xdr:row>
      <xdr:rowOff>67236</xdr:rowOff>
    </xdr:from>
    <xdr:to>
      <xdr:col>7</xdr:col>
      <xdr:colOff>1270452</xdr:colOff>
      <xdr:row>2</xdr:row>
      <xdr:rowOff>257736</xdr:rowOff>
    </xdr:to>
    <xdr:pic>
      <xdr:nvPicPr>
        <xdr:cNvPr id="5" name="Imagem 4" descr="Mateus Leme - Informações sobre o município e a prefeitura">
          <a:extLst>
            <a:ext uri="{FF2B5EF4-FFF2-40B4-BE49-F238E27FC236}">
              <a16:creationId xmlns:a16="http://schemas.microsoft.com/office/drawing/2014/main" xmlns="" id="{8668EC3A-0CC5-428E-A547-7208353C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489" y="67236"/>
          <a:ext cx="1330963" cy="85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76200</xdr:rowOff>
    </xdr:from>
    <xdr:to>
      <xdr:col>1</xdr:col>
      <xdr:colOff>1351079</xdr:colOff>
      <xdr:row>1</xdr:row>
      <xdr:rowOff>482048</xdr:rowOff>
    </xdr:to>
    <xdr:pic>
      <xdr:nvPicPr>
        <xdr:cNvPr id="2" name="Imagem 1" descr="Mateus Leme - Informações sobre o município e a prefeitura">
          <a:extLst>
            <a:ext uri="{FF2B5EF4-FFF2-40B4-BE49-F238E27FC236}">
              <a16:creationId xmlns:a16="http://schemas.microsoft.com/office/drawing/2014/main" xmlns="" id="{48B2C7D7-9558-4EE9-BEC1-6C778EB0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76200"/>
          <a:ext cx="931979" cy="59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3619500</xdr:colOff>
      <xdr:row>0</xdr:row>
      <xdr:rowOff>76200</xdr:rowOff>
    </xdr:from>
    <xdr:to>
      <xdr:col>3</xdr:col>
      <xdr:colOff>474779</xdr:colOff>
      <xdr:row>1</xdr:row>
      <xdr:rowOff>482048</xdr:rowOff>
    </xdr:to>
    <xdr:pic>
      <xdr:nvPicPr>
        <xdr:cNvPr id="5" name="Imagem 4" descr="Mateus Leme - Informações sobre o município e a prefeitura">
          <a:extLst>
            <a:ext uri="{FF2B5EF4-FFF2-40B4-BE49-F238E27FC236}">
              <a16:creationId xmlns:a16="http://schemas.microsoft.com/office/drawing/2014/main" xmlns="" id="{F72DEFDA-C878-40A4-B086-47F4D361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76200"/>
          <a:ext cx="931979" cy="59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1202397</xdr:colOff>
      <xdr:row>0</xdr:row>
      <xdr:rowOff>124240</xdr:rowOff>
    </xdr:from>
    <xdr:to>
      <xdr:col>9</xdr:col>
      <xdr:colOff>817441</xdr:colOff>
      <xdr:row>1</xdr:row>
      <xdr:rowOff>414131</xdr:rowOff>
    </xdr:to>
    <xdr:pic>
      <xdr:nvPicPr>
        <xdr:cNvPr id="4" name="Imagem 3" descr="Mateus Leme - Informações sobre o município e a prefeitura">
          <a:extLst>
            <a:ext uri="{FF2B5EF4-FFF2-40B4-BE49-F238E27FC236}">
              <a16:creationId xmlns:a16="http://schemas.microsoft.com/office/drawing/2014/main" xmlns="" id="{F1594555-1336-41C3-BFF6-06D9335C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658" y="124240"/>
          <a:ext cx="931979" cy="59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866124</xdr:colOff>
      <xdr:row>0</xdr:row>
      <xdr:rowOff>152401</xdr:rowOff>
    </xdr:from>
    <xdr:to>
      <xdr:col>3</xdr:col>
      <xdr:colOff>456320</xdr:colOff>
      <xdr:row>1</xdr:row>
      <xdr:rowOff>442292</xdr:rowOff>
    </xdr:to>
    <xdr:pic>
      <xdr:nvPicPr>
        <xdr:cNvPr id="5" name="Imagem 4" descr="Mateus Leme - Informações sobre o município e a prefeitura">
          <a:extLst>
            <a:ext uri="{FF2B5EF4-FFF2-40B4-BE49-F238E27FC236}">
              <a16:creationId xmlns:a16="http://schemas.microsoft.com/office/drawing/2014/main" xmlns="" id="{B1FF83E1-507D-4CDD-B5F7-940A0843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515" y="152401"/>
          <a:ext cx="931979" cy="59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view="pageBreakPreview" topLeftCell="A16" zoomScale="70" zoomScaleNormal="70" zoomScaleSheetLayoutView="70" workbookViewId="0">
      <selection activeCell="D97" sqref="D97"/>
    </sheetView>
  </sheetViews>
  <sheetFormatPr defaultRowHeight="15" x14ac:dyDescent="0.2"/>
  <cols>
    <col min="1" max="1" width="7.85546875" style="12" customWidth="1"/>
    <col min="2" max="2" width="72.28515625" style="12" customWidth="1"/>
    <col min="3" max="3" width="12.7109375" style="12" bestFit="1" customWidth="1"/>
    <col min="4" max="4" width="19.140625" style="12" bestFit="1" customWidth="1"/>
    <col min="5" max="5" width="9.42578125" style="12" bestFit="1" customWidth="1"/>
    <col min="6" max="6" width="15.42578125" style="12" bestFit="1" customWidth="1"/>
    <col min="7" max="7" width="18.28515625" style="85" bestFit="1" customWidth="1"/>
    <col min="8" max="8" width="22.7109375" style="12" bestFit="1" customWidth="1"/>
    <col min="9" max="9" width="29.42578125" style="12" customWidth="1"/>
    <col min="10" max="10" width="19.140625" style="12" bestFit="1" customWidth="1"/>
    <col min="11" max="11" width="13.140625" style="12" bestFit="1" customWidth="1"/>
    <col min="12" max="12" width="34.42578125" style="12" customWidth="1"/>
    <col min="13" max="16384" width="9.140625" style="12"/>
  </cols>
  <sheetData>
    <row r="1" spans="1:9" ht="19.5" customHeight="1" x14ac:dyDescent="0.2">
      <c r="A1" s="95" t="s">
        <v>118</v>
      </c>
      <c r="B1" s="96"/>
      <c r="C1" s="96"/>
      <c r="D1" s="96"/>
      <c r="E1" s="96"/>
      <c r="F1" s="96"/>
      <c r="G1" s="96"/>
      <c r="H1" s="96"/>
      <c r="I1" s="97"/>
    </row>
    <row r="2" spans="1:9" ht="32.25" customHeight="1" x14ac:dyDescent="0.2">
      <c r="A2" s="98"/>
      <c r="B2" s="99"/>
      <c r="C2" s="99"/>
      <c r="D2" s="99"/>
      <c r="E2" s="99"/>
      <c r="F2" s="99"/>
      <c r="G2" s="99"/>
      <c r="H2" s="99"/>
      <c r="I2" s="100"/>
    </row>
    <row r="3" spans="1:9" ht="30.75" customHeight="1" x14ac:dyDescent="0.2">
      <c r="A3" s="89" t="s">
        <v>23</v>
      </c>
      <c r="B3" s="90"/>
      <c r="C3" s="90"/>
      <c r="D3" s="90"/>
      <c r="E3" s="90"/>
      <c r="F3" s="90"/>
      <c r="G3" s="90"/>
      <c r="H3" s="90"/>
      <c r="I3" s="91"/>
    </row>
    <row r="4" spans="1:9" ht="30.75" customHeight="1" x14ac:dyDescent="0.2">
      <c r="A4" s="92" t="s">
        <v>119</v>
      </c>
      <c r="B4" s="93"/>
      <c r="C4" s="93"/>
      <c r="D4" s="93"/>
      <c r="E4" s="93"/>
      <c r="F4" s="93"/>
      <c r="G4" s="93"/>
      <c r="H4" s="93"/>
      <c r="I4" s="94"/>
    </row>
    <row r="5" spans="1:9" ht="15.75" customHeight="1" x14ac:dyDescent="0.2">
      <c r="A5" s="47" t="s">
        <v>241</v>
      </c>
      <c r="B5" s="38"/>
      <c r="C5" s="39"/>
      <c r="D5" s="107" t="s">
        <v>65</v>
      </c>
      <c r="E5" s="108"/>
      <c r="F5" s="108"/>
      <c r="G5" s="109"/>
      <c r="H5" s="40" t="s">
        <v>120</v>
      </c>
      <c r="I5" s="48">
        <v>0.25359999999999999</v>
      </c>
    </row>
    <row r="6" spans="1:9" x14ac:dyDescent="0.2">
      <c r="A6" s="102" t="s">
        <v>0</v>
      </c>
      <c r="B6" s="101" t="s">
        <v>8</v>
      </c>
      <c r="C6" s="101" t="s">
        <v>61</v>
      </c>
      <c r="D6" s="105" t="s">
        <v>83</v>
      </c>
      <c r="E6" s="101" t="s">
        <v>9</v>
      </c>
      <c r="F6" s="101" t="s">
        <v>10</v>
      </c>
      <c r="G6" s="103" t="s">
        <v>24</v>
      </c>
      <c r="H6" s="103" t="s">
        <v>25</v>
      </c>
      <c r="I6" s="104" t="s">
        <v>26</v>
      </c>
    </row>
    <row r="7" spans="1:9" x14ac:dyDescent="0.2">
      <c r="A7" s="102"/>
      <c r="B7" s="101"/>
      <c r="C7" s="101"/>
      <c r="D7" s="106"/>
      <c r="E7" s="101"/>
      <c r="F7" s="101"/>
      <c r="G7" s="103"/>
      <c r="H7" s="103"/>
      <c r="I7" s="104"/>
    </row>
    <row r="8" spans="1:9" ht="15.75" x14ac:dyDescent="0.2">
      <c r="A8" s="49" t="s">
        <v>195</v>
      </c>
      <c r="B8" s="42" t="s">
        <v>1</v>
      </c>
      <c r="C8" s="43"/>
      <c r="D8" s="43"/>
      <c r="E8" s="43"/>
      <c r="F8" s="44"/>
      <c r="G8" s="45"/>
      <c r="H8" s="45"/>
      <c r="I8" s="50">
        <f>SUM(I9:I15)</f>
        <v>475967.15276400006</v>
      </c>
    </row>
    <row r="9" spans="1:9" x14ac:dyDescent="0.2">
      <c r="A9" s="51" t="s">
        <v>196</v>
      </c>
      <c r="B9" s="13" t="s">
        <v>115</v>
      </c>
      <c r="C9" s="6">
        <v>11736</v>
      </c>
      <c r="D9" s="6" t="s">
        <v>106</v>
      </c>
      <c r="E9" s="2" t="s">
        <v>34</v>
      </c>
      <c r="F9" s="14">
        <f>Memorial!E7</f>
        <v>8</v>
      </c>
      <c r="G9" s="1">
        <v>29750.3</v>
      </c>
      <c r="H9" s="15">
        <f t="shared" ref="H9:H15" si="0">ROUND(G9*(1+$I$5),2)</f>
        <v>37294.980000000003</v>
      </c>
      <c r="I9" s="52">
        <f t="shared" ref="I9:I11" si="1">F9*H9</f>
        <v>298359.84000000003</v>
      </c>
    </row>
    <row r="10" spans="1:9" x14ac:dyDescent="0.2">
      <c r="A10" s="51" t="s">
        <v>197</v>
      </c>
      <c r="B10" s="13" t="s">
        <v>116</v>
      </c>
      <c r="C10" s="6">
        <v>600</v>
      </c>
      <c r="D10" s="6" t="s">
        <v>106</v>
      </c>
      <c r="E10" s="2" t="s">
        <v>43</v>
      </c>
      <c r="F10" s="14">
        <f>Memorial!E8</f>
        <v>145.56</v>
      </c>
      <c r="G10" s="1">
        <v>16.5</v>
      </c>
      <c r="H10" s="15">
        <f t="shared" si="0"/>
        <v>20.68</v>
      </c>
      <c r="I10" s="52">
        <f t="shared" si="1"/>
        <v>3010.1808000000001</v>
      </c>
    </row>
    <row r="11" spans="1:9" x14ac:dyDescent="0.2">
      <c r="A11" s="51" t="s">
        <v>198</v>
      </c>
      <c r="B11" s="13" t="s">
        <v>105</v>
      </c>
      <c r="C11" s="6">
        <v>38</v>
      </c>
      <c r="D11" s="6" t="s">
        <v>106</v>
      </c>
      <c r="E11" s="2" t="s">
        <v>43</v>
      </c>
      <c r="F11" s="14">
        <f>Memorial!E9</f>
        <v>394.8852</v>
      </c>
      <c r="G11" s="1">
        <v>20</v>
      </c>
      <c r="H11" s="15">
        <f t="shared" si="0"/>
        <v>25.07</v>
      </c>
      <c r="I11" s="52">
        <f t="shared" si="1"/>
        <v>9899.7719639999996</v>
      </c>
    </row>
    <row r="12" spans="1:9" ht="18" customHeight="1" x14ac:dyDescent="0.2">
      <c r="A12" s="51" t="s">
        <v>199</v>
      </c>
      <c r="B12" s="13" t="s">
        <v>41</v>
      </c>
      <c r="C12" s="6">
        <v>4813</v>
      </c>
      <c r="D12" s="6" t="s">
        <v>67</v>
      </c>
      <c r="E12" s="2" t="s">
        <v>43</v>
      </c>
      <c r="F12" s="14">
        <f>Memorial!E10</f>
        <v>18</v>
      </c>
      <c r="G12" s="1">
        <v>250</v>
      </c>
      <c r="H12" s="15">
        <f t="shared" si="0"/>
        <v>313.39999999999998</v>
      </c>
      <c r="I12" s="52">
        <f>F12*H12</f>
        <v>5641.2</v>
      </c>
    </row>
    <row r="13" spans="1:9" x14ac:dyDescent="0.2">
      <c r="A13" s="51" t="s">
        <v>200</v>
      </c>
      <c r="B13" s="13" t="s">
        <v>42</v>
      </c>
      <c r="C13" s="6">
        <v>12057</v>
      </c>
      <c r="D13" s="6" t="s">
        <v>106</v>
      </c>
      <c r="E13" s="2" t="s">
        <v>34</v>
      </c>
      <c r="F13" s="14">
        <f>Memorial!E11</f>
        <v>24</v>
      </c>
      <c r="G13" s="1">
        <v>1612.5</v>
      </c>
      <c r="H13" s="15">
        <f t="shared" si="0"/>
        <v>2021.43</v>
      </c>
      <c r="I13" s="52">
        <f t="shared" ref="I13:I15" si="2">F13*H13</f>
        <v>48514.32</v>
      </c>
    </row>
    <row r="14" spans="1:9" ht="18" customHeight="1" x14ac:dyDescent="0.2">
      <c r="A14" s="51" t="s">
        <v>201</v>
      </c>
      <c r="B14" s="13" t="s">
        <v>56</v>
      </c>
      <c r="C14" s="6">
        <v>10776</v>
      </c>
      <c r="D14" s="6" t="s">
        <v>67</v>
      </c>
      <c r="E14" s="2" t="s">
        <v>34</v>
      </c>
      <c r="F14" s="14">
        <f>Memorial!E12</f>
        <v>24</v>
      </c>
      <c r="G14" s="1">
        <v>664.06</v>
      </c>
      <c r="H14" s="15">
        <f t="shared" si="0"/>
        <v>832.47</v>
      </c>
      <c r="I14" s="52">
        <f t="shared" si="2"/>
        <v>19979.28</v>
      </c>
    </row>
    <row r="15" spans="1:9" x14ac:dyDescent="0.2">
      <c r="A15" s="51" t="s">
        <v>202</v>
      </c>
      <c r="B15" s="13" t="s">
        <v>267</v>
      </c>
      <c r="C15" s="6">
        <v>3346</v>
      </c>
      <c r="D15" s="6" t="s">
        <v>67</v>
      </c>
      <c r="E15" s="2" t="s">
        <v>68</v>
      </c>
      <c r="F15" s="14">
        <f>Memorial!E13</f>
        <v>4224</v>
      </c>
      <c r="G15" s="1">
        <v>17.100000000000001</v>
      </c>
      <c r="H15" s="15">
        <f t="shared" si="0"/>
        <v>21.44</v>
      </c>
      <c r="I15" s="52">
        <f t="shared" si="2"/>
        <v>90562.560000000012</v>
      </c>
    </row>
    <row r="16" spans="1:9" ht="15.75" x14ac:dyDescent="0.2">
      <c r="A16" s="110" t="s">
        <v>250</v>
      </c>
      <c r="B16" s="111"/>
      <c r="C16" s="111"/>
      <c r="D16" s="111"/>
      <c r="E16" s="111"/>
      <c r="F16" s="111"/>
      <c r="G16" s="111"/>
      <c r="H16" s="111"/>
      <c r="I16" s="112"/>
    </row>
    <row r="17" spans="1:9" ht="15.75" x14ac:dyDescent="0.2">
      <c r="A17" s="49" t="s">
        <v>2</v>
      </c>
      <c r="B17" s="46" t="s">
        <v>36</v>
      </c>
      <c r="C17" s="41"/>
      <c r="D17" s="41"/>
      <c r="E17" s="41"/>
      <c r="F17" s="41"/>
      <c r="G17" s="41"/>
      <c r="H17" s="41"/>
      <c r="I17" s="50">
        <f>SUM(I18:I21)</f>
        <v>14060.114599999999</v>
      </c>
    </row>
    <row r="18" spans="1:9" x14ac:dyDescent="0.2">
      <c r="A18" s="51" t="s">
        <v>123</v>
      </c>
      <c r="B18" s="13" t="s">
        <v>107</v>
      </c>
      <c r="C18" s="6">
        <v>32</v>
      </c>
      <c r="D18" s="6" t="s">
        <v>106</v>
      </c>
      <c r="E18" s="2" t="s">
        <v>34</v>
      </c>
      <c r="F18" s="14">
        <f>Memorial!E16</f>
        <v>0.5</v>
      </c>
      <c r="G18" s="1">
        <v>12877.48</v>
      </c>
      <c r="H18" s="15">
        <f>ROUND(G18*(1+$I$5),2)</f>
        <v>16143.21</v>
      </c>
      <c r="I18" s="52">
        <f t="shared" ref="I18:I21" si="3">F18*H18</f>
        <v>8071.6049999999996</v>
      </c>
    </row>
    <row r="19" spans="1:9" x14ac:dyDescent="0.2">
      <c r="A19" s="51" t="s">
        <v>124</v>
      </c>
      <c r="B19" s="13" t="s">
        <v>55</v>
      </c>
      <c r="C19" s="6">
        <v>4805769</v>
      </c>
      <c r="D19" s="6" t="s">
        <v>60</v>
      </c>
      <c r="E19" s="2" t="s">
        <v>44</v>
      </c>
      <c r="F19" s="14">
        <f>Memorial!E17</f>
        <v>18</v>
      </c>
      <c r="G19" s="1">
        <v>81.88</v>
      </c>
      <c r="H19" s="15">
        <f>ROUND(G19*(1+$I$5),2)</f>
        <v>102.64</v>
      </c>
      <c r="I19" s="52">
        <f t="shared" si="3"/>
        <v>1847.52</v>
      </c>
    </row>
    <row r="20" spans="1:9" x14ac:dyDescent="0.2">
      <c r="A20" s="51" t="s">
        <v>125</v>
      </c>
      <c r="B20" s="13" t="s">
        <v>297</v>
      </c>
      <c r="C20" s="6">
        <v>93588</v>
      </c>
      <c r="D20" s="20" t="s">
        <v>67</v>
      </c>
      <c r="E20" s="2" t="s">
        <v>291</v>
      </c>
      <c r="F20" s="14">
        <f>Memorial!E18</f>
        <v>374.40000000000003</v>
      </c>
      <c r="G20" s="1">
        <v>1.1100000000000001</v>
      </c>
      <c r="H20" s="15">
        <f>ROUND(G20*(1+$I$5),2)</f>
        <v>1.39</v>
      </c>
      <c r="I20" s="52">
        <f t="shared" si="3"/>
        <v>520.41600000000005</v>
      </c>
    </row>
    <row r="21" spans="1:9" x14ac:dyDescent="0.2">
      <c r="A21" s="51" t="s">
        <v>126</v>
      </c>
      <c r="B21" s="13" t="s">
        <v>27</v>
      </c>
      <c r="C21" s="6">
        <v>99059</v>
      </c>
      <c r="D21" s="6" t="s">
        <v>67</v>
      </c>
      <c r="E21" s="2" t="s">
        <v>29</v>
      </c>
      <c r="F21" s="14">
        <f>Memorial!E19</f>
        <v>57.68</v>
      </c>
      <c r="G21" s="1">
        <v>50.07</v>
      </c>
      <c r="H21" s="15">
        <f>ROUND(G21*(1+$I$5),2)</f>
        <v>62.77</v>
      </c>
      <c r="I21" s="52">
        <f t="shared" si="3"/>
        <v>3620.5736000000002</v>
      </c>
    </row>
    <row r="22" spans="1:9" ht="15.75" x14ac:dyDescent="0.2">
      <c r="A22" s="49" t="s">
        <v>4</v>
      </c>
      <c r="B22" s="46" t="s">
        <v>37</v>
      </c>
      <c r="C22" s="41"/>
      <c r="D22" s="41"/>
      <c r="E22" s="41"/>
      <c r="F22" s="41"/>
      <c r="G22" s="41"/>
      <c r="H22" s="41"/>
      <c r="I22" s="50">
        <f>SUM(I23:I29)</f>
        <v>66972.627099999998</v>
      </c>
    </row>
    <row r="23" spans="1:9" x14ac:dyDescent="0.2">
      <c r="A23" s="53" t="s">
        <v>127</v>
      </c>
      <c r="B23" s="13" t="s">
        <v>265</v>
      </c>
      <c r="C23" s="6">
        <v>2306116</v>
      </c>
      <c r="D23" s="6" t="s">
        <v>60</v>
      </c>
      <c r="E23" s="2" t="s">
        <v>29</v>
      </c>
      <c r="F23" s="3">
        <f>Memorial!E21</f>
        <v>80</v>
      </c>
      <c r="G23" s="1">
        <v>494.79</v>
      </c>
      <c r="H23" s="15">
        <f t="shared" ref="H23:H29" si="4">ROUND(G23*(1+$I$5),2)</f>
        <v>620.27</v>
      </c>
      <c r="I23" s="54">
        <f>F23*H23</f>
        <v>49621.599999999999</v>
      </c>
    </row>
    <row r="24" spans="1:9" ht="15.75" customHeight="1" x14ac:dyDescent="0.2">
      <c r="A24" s="53" t="s">
        <v>128</v>
      </c>
      <c r="B24" s="13" t="s">
        <v>117</v>
      </c>
      <c r="C24" s="6">
        <v>3108011</v>
      </c>
      <c r="D24" s="20" t="s">
        <v>60</v>
      </c>
      <c r="E24" s="2" t="s">
        <v>43</v>
      </c>
      <c r="F24" s="3">
        <f>Memorial!E22</f>
        <v>13.200000000000001</v>
      </c>
      <c r="G24" s="1">
        <v>141.61000000000001</v>
      </c>
      <c r="H24" s="15">
        <f t="shared" si="4"/>
        <v>177.52</v>
      </c>
      <c r="I24" s="54">
        <f t="shared" ref="I24:I29" si="5">F24*H24</f>
        <v>2343.2640000000001</v>
      </c>
    </row>
    <row r="25" spans="1:9" ht="15.75" customHeight="1" x14ac:dyDescent="0.2">
      <c r="A25" s="53" t="s">
        <v>129</v>
      </c>
      <c r="B25" s="13" t="s">
        <v>108</v>
      </c>
      <c r="C25" s="6">
        <v>30671</v>
      </c>
      <c r="D25" s="20" t="s">
        <v>106</v>
      </c>
      <c r="E25" s="2" t="s">
        <v>43</v>
      </c>
      <c r="F25" s="3">
        <f>Memorial!E23</f>
        <v>13.200000000000001</v>
      </c>
      <c r="G25" s="1">
        <v>26.99</v>
      </c>
      <c r="H25" s="15">
        <f t="shared" si="4"/>
        <v>33.83</v>
      </c>
      <c r="I25" s="54">
        <f t="shared" si="5"/>
        <v>446.55600000000004</v>
      </c>
    </row>
    <row r="26" spans="1:9" ht="15.75" customHeight="1" x14ac:dyDescent="0.2">
      <c r="A26" s="53" t="s">
        <v>130</v>
      </c>
      <c r="B26" s="13" t="s">
        <v>82</v>
      </c>
      <c r="C26" s="6">
        <v>5919533</v>
      </c>
      <c r="D26" s="20" t="s">
        <v>60</v>
      </c>
      <c r="E26" s="2" t="s">
        <v>69</v>
      </c>
      <c r="F26" s="3">
        <f>Memorial!E24</f>
        <v>11.88</v>
      </c>
      <c r="G26" s="1">
        <v>61.12</v>
      </c>
      <c r="H26" s="15">
        <f t="shared" si="4"/>
        <v>76.62</v>
      </c>
      <c r="I26" s="54">
        <f t="shared" si="5"/>
        <v>910.24560000000008</v>
      </c>
    </row>
    <row r="27" spans="1:9" x14ac:dyDescent="0.2">
      <c r="A27" s="53" t="s">
        <v>131</v>
      </c>
      <c r="B27" s="13" t="s">
        <v>46</v>
      </c>
      <c r="C27" s="6">
        <v>99439</v>
      </c>
      <c r="D27" s="6" t="s">
        <v>67</v>
      </c>
      <c r="E27" s="2" t="s">
        <v>44</v>
      </c>
      <c r="F27" s="3">
        <f>Memorial!E25</f>
        <v>4.95</v>
      </c>
      <c r="G27" s="1">
        <v>645.14</v>
      </c>
      <c r="H27" s="15">
        <f t="shared" si="4"/>
        <v>808.75</v>
      </c>
      <c r="I27" s="54">
        <f t="shared" si="5"/>
        <v>4003.3125</v>
      </c>
    </row>
    <row r="28" spans="1:9" x14ac:dyDescent="0.2">
      <c r="A28" s="53" t="s">
        <v>132</v>
      </c>
      <c r="B28" s="13" t="s">
        <v>57</v>
      </c>
      <c r="C28" s="6">
        <v>103670</v>
      </c>
      <c r="D28" s="6" t="s">
        <v>67</v>
      </c>
      <c r="E28" s="2" t="s">
        <v>44</v>
      </c>
      <c r="F28" s="3">
        <f>Memorial!E26</f>
        <v>4.95</v>
      </c>
      <c r="G28" s="1">
        <v>294.37</v>
      </c>
      <c r="H28" s="15">
        <f t="shared" si="4"/>
        <v>369.02</v>
      </c>
      <c r="I28" s="54">
        <f t="shared" si="5"/>
        <v>1826.6489999999999</v>
      </c>
    </row>
    <row r="29" spans="1:9" x14ac:dyDescent="0.2">
      <c r="A29" s="53" t="s">
        <v>203</v>
      </c>
      <c r="B29" s="13" t="s">
        <v>58</v>
      </c>
      <c r="C29" s="6">
        <v>40254</v>
      </c>
      <c r="D29" s="20" t="s">
        <v>106</v>
      </c>
      <c r="E29" s="2" t="s">
        <v>30</v>
      </c>
      <c r="F29" s="3">
        <f>Memorial!E27</f>
        <v>495</v>
      </c>
      <c r="G29" s="1">
        <v>12.6</v>
      </c>
      <c r="H29" s="15">
        <f t="shared" si="4"/>
        <v>15.8</v>
      </c>
      <c r="I29" s="54">
        <f t="shared" si="5"/>
        <v>7821</v>
      </c>
    </row>
    <row r="30" spans="1:9" ht="15.75" x14ac:dyDescent="0.2">
      <c r="A30" s="49" t="s">
        <v>5</v>
      </c>
      <c r="B30" s="46" t="s">
        <v>38</v>
      </c>
      <c r="C30" s="41"/>
      <c r="D30" s="41"/>
      <c r="E30" s="41"/>
      <c r="F30" s="41"/>
      <c r="G30" s="41"/>
      <c r="H30" s="41"/>
      <c r="I30" s="50">
        <f>SUM(I31:I36)</f>
        <v>189517.97042640002</v>
      </c>
    </row>
    <row r="31" spans="1:9" ht="15.75" customHeight="1" x14ac:dyDescent="0.2">
      <c r="A31" s="51" t="s">
        <v>133</v>
      </c>
      <c r="B31" s="13" t="s">
        <v>117</v>
      </c>
      <c r="C31" s="6">
        <v>3108011</v>
      </c>
      <c r="D31" s="20" t="s">
        <v>60</v>
      </c>
      <c r="E31" s="2" t="s">
        <v>43</v>
      </c>
      <c r="F31" s="14">
        <f>Memorial!E29</f>
        <v>139.94640000000001</v>
      </c>
      <c r="G31" s="1">
        <v>141.61000000000001</v>
      </c>
      <c r="H31" s="15">
        <f t="shared" ref="H31:H36" si="6">ROUND(G31*(1+$I$5),2)</f>
        <v>177.52</v>
      </c>
      <c r="I31" s="52">
        <f t="shared" ref="I31:I36" si="7">H31*F31</f>
        <v>24843.284928000005</v>
      </c>
    </row>
    <row r="32" spans="1:9" ht="15.75" customHeight="1" x14ac:dyDescent="0.2">
      <c r="A32" s="51" t="s">
        <v>134</v>
      </c>
      <c r="B32" s="13" t="s">
        <v>108</v>
      </c>
      <c r="C32" s="6">
        <v>30671</v>
      </c>
      <c r="D32" s="20" t="s">
        <v>106</v>
      </c>
      <c r="E32" s="2" t="s">
        <v>43</v>
      </c>
      <c r="F32" s="14">
        <f>Memorial!E30</f>
        <v>139.94640000000001</v>
      </c>
      <c r="G32" s="1">
        <f>G25</f>
        <v>26.99</v>
      </c>
      <c r="H32" s="15">
        <f t="shared" si="6"/>
        <v>33.83</v>
      </c>
      <c r="I32" s="52">
        <f t="shared" si="7"/>
        <v>4734.3867120000004</v>
      </c>
    </row>
    <row r="33" spans="1:12" ht="15.75" customHeight="1" x14ac:dyDescent="0.2">
      <c r="A33" s="51" t="s">
        <v>135</v>
      </c>
      <c r="B33" s="13" t="s">
        <v>82</v>
      </c>
      <c r="C33" s="6">
        <v>5919533</v>
      </c>
      <c r="D33" s="20" t="s">
        <v>60</v>
      </c>
      <c r="E33" s="2" t="s">
        <v>69</v>
      </c>
      <c r="F33" s="14">
        <f>Memorial!E31</f>
        <v>130.48992000000001</v>
      </c>
      <c r="G33" s="1">
        <v>61.12</v>
      </c>
      <c r="H33" s="15">
        <f t="shared" si="6"/>
        <v>76.62</v>
      </c>
      <c r="I33" s="52">
        <f t="shared" si="7"/>
        <v>9998.1376704000013</v>
      </c>
    </row>
    <row r="34" spans="1:12" x14ac:dyDescent="0.2">
      <c r="A34" s="51" t="s">
        <v>136</v>
      </c>
      <c r="B34" s="13" t="s">
        <v>46</v>
      </c>
      <c r="C34" s="6">
        <v>99439</v>
      </c>
      <c r="D34" s="6" t="s">
        <v>67</v>
      </c>
      <c r="E34" s="2" t="s">
        <v>44</v>
      </c>
      <c r="F34" s="14">
        <f>Memorial!E32</f>
        <v>54.370800000000003</v>
      </c>
      <c r="G34" s="1">
        <v>645.14</v>
      </c>
      <c r="H34" s="15">
        <f t="shared" si="6"/>
        <v>808.75</v>
      </c>
      <c r="I34" s="52">
        <f t="shared" si="7"/>
        <v>43972.3845</v>
      </c>
    </row>
    <row r="35" spans="1:12" x14ac:dyDescent="0.2">
      <c r="A35" s="51" t="s">
        <v>137</v>
      </c>
      <c r="B35" s="13" t="s">
        <v>57</v>
      </c>
      <c r="C35" s="6">
        <v>103670</v>
      </c>
      <c r="D35" s="6" t="s">
        <v>67</v>
      </c>
      <c r="E35" s="2" t="s">
        <v>44</v>
      </c>
      <c r="F35" s="14">
        <f>Memorial!E33</f>
        <v>54.370800000000003</v>
      </c>
      <c r="G35" s="1">
        <v>294.37</v>
      </c>
      <c r="H35" s="15">
        <f t="shared" si="6"/>
        <v>369.02</v>
      </c>
      <c r="I35" s="52">
        <f t="shared" si="7"/>
        <v>20063.912616000001</v>
      </c>
    </row>
    <row r="36" spans="1:12" x14ac:dyDescent="0.2">
      <c r="A36" s="51" t="s">
        <v>138</v>
      </c>
      <c r="B36" s="13" t="s">
        <v>58</v>
      </c>
      <c r="C36" s="6">
        <v>40254</v>
      </c>
      <c r="D36" s="20" t="s">
        <v>106</v>
      </c>
      <c r="E36" s="2" t="s">
        <v>30</v>
      </c>
      <c r="F36" s="14">
        <f>Memorial!E34</f>
        <v>5437.08</v>
      </c>
      <c r="G36" s="1">
        <f>G29</f>
        <v>12.6</v>
      </c>
      <c r="H36" s="15">
        <f t="shared" si="6"/>
        <v>15.8</v>
      </c>
      <c r="I36" s="52">
        <f t="shared" si="7"/>
        <v>85905.864000000001</v>
      </c>
    </row>
    <row r="37" spans="1:12" ht="15.75" x14ac:dyDescent="0.2">
      <c r="A37" s="49" t="s">
        <v>31</v>
      </c>
      <c r="B37" s="46" t="s">
        <v>62</v>
      </c>
      <c r="C37" s="41"/>
      <c r="D37" s="41"/>
      <c r="E37" s="41"/>
      <c r="F37" s="41"/>
      <c r="G37" s="41"/>
      <c r="H37" s="41"/>
      <c r="I37" s="50">
        <f>SUM(I38:I50)</f>
        <v>445201.38112392859</v>
      </c>
    </row>
    <row r="38" spans="1:12" ht="48.75" customHeight="1" x14ac:dyDescent="0.2">
      <c r="A38" s="55" t="s">
        <v>139</v>
      </c>
      <c r="B38" s="13" t="str">
        <f>CPU!C1</f>
        <v>VIGA METÁLICA EM PERFIL LAMINADO E/OU SOLDADO EM AÇO ESTRUTURAL, COM CONEXÕES PARAFUSADAS E/OU SOLDADAS - INCLUSIVE LANÇAMENTO COM COM GUINDASTE E PLANO RIGGING</v>
      </c>
      <c r="C38" s="16" t="str">
        <f>CPU!B1</f>
        <v>CPU-01</v>
      </c>
      <c r="D38" s="16" t="s">
        <v>104</v>
      </c>
      <c r="E38" s="6" t="s">
        <v>30</v>
      </c>
      <c r="F38" s="14">
        <f>Memorial!E36</f>
        <v>6809.25</v>
      </c>
      <c r="G38" s="1">
        <f>CPU!G10</f>
        <v>27.42</v>
      </c>
      <c r="H38" s="15">
        <f t="shared" ref="H38:H50" si="8">ROUND(G38*(1+$I$5),2)</f>
        <v>34.369999999999997</v>
      </c>
      <c r="I38" s="52">
        <f t="shared" ref="I38:I50" si="9">F38*H38</f>
        <v>234033.92249999999</v>
      </c>
      <c r="K38" s="17"/>
    </row>
    <row r="39" spans="1:12" x14ac:dyDescent="0.2">
      <c r="A39" s="55" t="s">
        <v>140</v>
      </c>
      <c r="B39" s="13" t="s">
        <v>243</v>
      </c>
      <c r="C39" s="16">
        <v>180230</v>
      </c>
      <c r="D39" s="16" t="s">
        <v>106</v>
      </c>
      <c r="E39" s="6" t="s">
        <v>43</v>
      </c>
      <c r="F39" s="14">
        <f>Memorial!E37</f>
        <v>238.32375000000002</v>
      </c>
      <c r="G39" s="1">
        <v>50</v>
      </c>
      <c r="H39" s="15">
        <f t="shared" si="8"/>
        <v>62.68</v>
      </c>
      <c r="I39" s="52">
        <f t="shared" si="9"/>
        <v>14938.132650000001</v>
      </c>
      <c r="K39" s="17"/>
    </row>
    <row r="40" spans="1:12" ht="18" customHeight="1" x14ac:dyDescent="0.2">
      <c r="A40" s="55" t="s">
        <v>141</v>
      </c>
      <c r="B40" s="13" t="s">
        <v>47</v>
      </c>
      <c r="C40" s="6">
        <v>100752</v>
      </c>
      <c r="D40" s="6" t="s">
        <v>67</v>
      </c>
      <c r="E40" s="2" t="s">
        <v>43</v>
      </c>
      <c r="F40" s="14">
        <f>Memorial!E38</f>
        <v>396.55875000000003</v>
      </c>
      <c r="G40" s="1">
        <v>51.08</v>
      </c>
      <c r="H40" s="15">
        <f t="shared" si="8"/>
        <v>64.03</v>
      </c>
      <c r="I40" s="52">
        <f t="shared" si="9"/>
        <v>25391.656762500003</v>
      </c>
      <c r="K40" s="17"/>
    </row>
    <row r="41" spans="1:12" x14ac:dyDescent="0.2">
      <c r="A41" s="55" t="s">
        <v>142</v>
      </c>
      <c r="B41" s="5" t="s">
        <v>242</v>
      </c>
      <c r="C41" s="6">
        <v>40491</v>
      </c>
      <c r="D41" s="6" t="s">
        <v>106</v>
      </c>
      <c r="E41" s="6" t="s">
        <v>30</v>
      </c>
      <c r="F41" s="14">
        <f>Memorial!E39</f>
        <v>6809.25</v>
      </c>
      <c r="G41" s="1">
        <v>12.76</v>
      </c>
      <c r="H41" s="15">
        <f t="shared" si="8"/>
        <v>16</v>
      </c>
      <c r="I41" s="52">
        <f t="shared" si="9"/>
        <v>108948</v>
      </c>
    </row>
    <row r="42" spans="1:12" x14ac:dyDescent="0.2">
      <c r="A42" s="55" t="s">
        <v>143</v>
      </c>
      <c r="B42" s="13" t="s">
        <v>48</v>
      </c>
      <c r="C42" s="6">
        <v>307731</v>
      </c>
      <c r="D42" s="6" t="s">
        <v>60</v>
      </c>
      <c r="E42" s="2" t="s">
        <v>50</v>
      </c>
      <c r="F42" s="14">
        <f>Memorial!E40</f>
        <v>9.3000000000000007</v>
      </c>
      <c r="G42" s="1">
        <v>113.54</v>
      </c>
      <c r="H42" s="15">
        <f t="shared" si="8"/>
        <v>142.33000000000001</v>
      </c>
      <c r="I42" s="52">
        <f t="shared" si="9"/>
        <v>1323.6690000000003</v>
      </c>
      <c r="K42" s="17"/>
    </row>
    <row r="43" spans="1:12" ht="30" x14ac:dyDescent="0.2">
      <c r="A43" s="55" t="s">
        <v>144</v>
      </c>
      <c r="B43" s="13" t="s">
        <v>49</v>
      </c>
      <c r="C43" s="6" t="str">
        <f>CPU!B12</f>
        <v>CPU-02</v>
      </c>
      <c r="D43" s="6" t="s">
        <v>104</v>
      </c>
      <c r="E43" s="2" t="s">
        <v>43</v>
      </c>
      <c r="F43" s="14">
        <f>Memorial!E41</f>
        <v>75</v>
      </c>
      <c r="G43" s="1">
        <f>CPU!G16</f>
        <v>150.81</v>
      </c>
      <c r="H43" s="15">
        <f t="shared" si="8"/>
        <v>189.06</v>
      </c>
      <c r="I43" s="52">
        <f t="shared" si="9"/>
        <v>14179.5</v>
      </c>
      <c r="K43" s="17"/>
    </row>
    <row r="44" spans="1:12" x14ac:dyDescent="0.2">
      <c r="A44" s="55" t="s">
        <v>145</v>
      </c>
      <c r="B44" s="13" t="s">
        <v>82</v>
      </c>
      <c r="C44" s="6">
        <v>5919533</v>
      </c>
      <c r="D44" s="20" t="s">
        <v>60</v>
      </c>
      <c r="E44" s="2" t="s">
        <v>69</v>
      </c>
      <c r="F44" s="14">
        <f>Memorial!E42</f>
        <v>36</v>
      </c>
      <c r="G44" s="1">
        <v>61.12</v>
      </c>
      <c r="H44" s="15">
        <f t="shared" si="8"/>
        <v>76.62</v>
      </c>
      <c r="I44" s="52">
        <f t="shared" si="9"/>
        <v>2758.32</v>
      </c>
      <c r="K44" s="17"/>
    </row>
    <row r="45" spans="1:12" x14ac:dyDescent="0.2">
      <c r="A45" s="55" t="s">
        <v>204</v>
      </c>
      <c r="B45" s="13" t="s">
        <v>247</v>
      </c>
      <c r="C45" s="6">
        <v>34491</v>
      </c>
      <c r="D45" s="6" t="s">
        <v>67</v>
      </c>
      <c r="E45" s="2" t="s">
        <v>44</v>
      </c>
      <c r="F45" s="14">
        <f>Memorial!E43</f>
        <v>15</v>
      </c>
      <c r="G45" s="1">
        <v>581.57000000000005</v>
      </c>
      <c r="H45" s="15">
        <f t="shared" si="8"/>
        <v>729.06</v>
      </c>
      <c r="I45" s="52">
        <f t="shared" si="9"/>
        <v>10935.9</v>
      </c>
      <c r="K45" s="17"/>
    </row>
    <row r="46" spans="1:12" x14ac:dyDescent="0.2">
      <c r="A46" s="55" t="s">
        <v>205</v>
      </c>
      <c r="B46" s="13" t="s">
        <v>63</v>
      </c>
      <c r="C46" s="6">
        <f>C35</f>
        <v>103670</v>
      </c>
      <c r="D46" s="6" t="str">
        <f>D35</f>
        <v>SINAPI</v>
      </c>
      <c r="E46" s="2" t="s">
        <v>44</v>
      </c>
      <c r="F46" s="14">
        <f>Memorial!E44</f>
        <v>15</v>
      </c>
      <c r="G46" s="1">
        <v>294.37</v>
      </c>
      <c r="H46" s="15">
        <f t="shared" si="8"/>
        <v>369.02</v>
      </c>
      <c r="I46" s="52">
        <f t="shared" si="9"/>
        <v>5535.2999999999993</v>
      </c>
      <c r="K46" s="17"/>
    </row>
    <row r="47" spans="1:12" x14ac:dyDescent="0.2">
      <c r="A47" s="55" t="s">
        <v>206</v>
      </c>
      <c r="B47" s="13" t="str">
        <f>B36</f>
        <v>ARMAÇÃO EM BARRA DE AÇO CA-50</v>
      </c>
      <c r="C47" s="6">
        <v>40254</v>
      </c>
      <c r="D47" s="20" t="s">
        <v>106</v>
      </c>
      <c r="E47" s="2" t="s">
        <v>30</v>
      </c>
      <c r="F47" s="14">
        <f>Memorial!E45</f>
        <v>722.66322857142859</v>
      </c>
      <c r="G47" s="1">
        <v>12.6</v>
      </c>
      <c r="H47" s="15">
        <f t="shared" si="8"/>
        <v>15.8</v>
      </c>
      <c r="I47" s="52">
        <f t="shared" si="9"/>
        <v>11418.079011428572</v>
      </c>
      <c r="K47" s="17"/>
    </row>
    <row r="48" spans="1:12" s="18" customFormat="1" x14ac:dyDescent="0.2">
      <c r="A48" s="55" t="s">
        <v>207</v>
      </c>
      <c r="B48" s="13" t="s">
        <v>53</v>
      </c>
      <c r="C48" s="6">
        <v>3719530</v>
      </c>
      <c r="D48" s="6" t="s">
        <v>60</v>
      </c>
      <c r="E48" s="2" t="s">
        <v>29</v>
      </c>
      <c r="F48" s="14">
        <f>Memorial!E46</f>
        <v>30</v>
      </c>
      <c r="G48" s="1">
        <v>298.77</v>
      </c>
      <c r="H48" s="15">
        <f t="shared" si="8"/>
        <v>374.54</v>
      </c>
      <c r="I48" s="52">
        <f t="shared" si="9"/>
        <v>11236.2</v>
      </c>
      <c r="K48" s="17"/>
      <c r="L48" s="12"/>
    </row>
    <row r="49" spans="1:12" s="18" customFormat="1" x14ac:dyDescent="0.2">
      <c r="A49" s="55" t="s">
        <v>208</v>
      </c>
      <c r="B49" s="13" t="s">
        <v>282</v>
      </c>
      <c r="C49" s="6">
        <v>160216</v>
      </c>
      <c r="D49" s="6" t="s">
        <v>106</v>
      </c>
      <c r="E49" s="2" t="s">
        <v>43</v>
      </c>
      <c r="F49" s="14">
        <f>Memorial!E47</f>
        <v>55.754000000000005</v>
      </c>
      <c r="G49" s="1">
        <v>58.31</v>
      </c>
      <c r="H49" s="15">
        <f t="shared" si="8"/>
        <v>73.099999999999994</v>
      </c>
      <c r="I49" s="52">
        <f t="shared" si="9"/>
        <v>4075.6174000000001</v>
      </c>
      <c r="K49" s="17"/>
      <c r="L49" s="12"/>
    </row>
    <row r="50" spans="1:12" s="18" customFormat="1" x14ac:dyDescent="0.2">
      <c r="A50" s="55" t="s">
        <v>284</v>
      </c>
      <c r="B50" s="13" t="s">
        <v>285</v>
      </c>
      <c r="C50" s="6">
        <v>3713705</v>
      </c>
      <c r="D50" s="6" t="s">
        <v>60</v>
      </c>
      <c r="E50" s="2" t="s">
        <v>29</v>
      </c>
      <c r="F50" s="14">
        <f>Memorial!E48</f>
        <v>15.07</v>
      </c>
      <c r="G50" s="1">
        <v>22.61</v>
      </c>
      <c r="H50" s="15">
        <f t="shared" si="8"/>
        <v>28.34</v>
      </c>
      <c r="I50" s="52">
        <f t="shared" si="9"/>
        <v>427.0838</v>
      </c>
      <c r="K50" s="17"/>
      <c r="L50" s="12"/>
    </row>
    <row r="51" spans="1:12" ht="15.75" x14ac:dyDescent="0.2">
      <c r="A51" s="49" t="s">
        <v>33</v>
      </c>
      <c r="B51" s="46" t="s">
        <v>22</v>
      </c>
      <c r="C51" s="41"/>
      <c r="D51" s="41"/>
      <c r="E51" s="41"/>
      <c r="F51" s="41"/>
      <c r="G51" s="41"/>
      <c r="H51" s="41"/>
      <c r="I51" s="50">
        <f>SUM(I52:I52)</f>
        <v>6428</v>
      </c>
      <c r="K51" s="17"/>
    </row>
    <row r="52" spans="1:12" x14ac:dyDescent="0.2">
      <c r="A52" s="55" t="s">
        <v>146</v>
      </c>
      <c r="B52" s="4" t="s">
        <v>28</v>
      </c>
      <c r="C52" s="6">
        <v>210023</v>
      </c>
      <c r="D52" s="6" t="s">
        <v>106</v>
      </c>
      <c r="E52" s="2" t="s">
        <v>43</v>
      </c>
      <c r="F52" s="14">
        <f>Memorial!E50</f>
        <v>200</v>
      </c>
      <c r="G52" s="1">
        <v>25.64</v>
      </c>
      <c r="H52" s="15">
        <f>ROUND(G52*(1+$I$5),2)</f>
        <v>32.14</v>
      </c>
      <c r="I52" s="52">
        <f>F52*H52</f>
        <v>6428</v>
      </c>
    </row>
    <row r="53" spans="1:12" ht="16.5" thickBot="1" x14ac:dyDescent="0.25">
      <c r="A53" s="118" t="s">
        <v>89</v>
      </c>
      <c r="B53" s="119"/>
      <c r="C53" s="119"/>
      <c r="D53" s="119"/>
      <c r="E53" s="119"/>
      <c r="F53" s="119"/>
      <c r="G53" s="119"/>
      <c r="H53" s="120"/>
      <c r="I53" s="56">
        <f>I17+I22+I30+I37+I51</f>
        <v>722180.09325032867</v>
      </c>
    </row>
    <row r="54" spans="1:12" ht="15.75" x14ac:dyDescent="0.2">
      <c r="A54" s="116" t="s">
        <v>251</v>
      </c>
      <c r="B54" s="117"/>
      <c r="C54" s="117"/>
      <c r="D54" s="117"/>
      <c r="E54" s="117"/>
      <c r="F54" s="117"/>
      <c r="G54" s="117"/>
      <c r="H54" s="117"/>
      <c r="I54" s="112"/>
    </row>
    <row r="55" spans="1:12" ht="15.75" x14ac:dyDescent="0.2">
      <c r="A55" s="49" t="s">
        <v>6</v>
      </c>
      <c r="B55" s="46" t="s">
        <v>36</v>
      </c>
      <c r="C55" s="41"/>
      <c r="D55" s="41"/>
      <c r="E55" s="41"/>
      <c r="F55" s="41"/>
      <c r="G55" s="41"/>
      <c r="H55" s="41"/>
      <c r="I55" s="50">
        <f>SUM(I56:I59)</f>
        <v>213260.94979999997</v>
      </c>
    </row>
    <row r="56" spans="1:12" x14ac:dyDescent="0.2">
      <c r="A56" s="51" t="s">
        <v>147</v>
      </c>
      <c r="B56" s="13" t="s">
        <v>107</v>
      </c>
      <c r="C56" s="6">
        <v>32</v>
      </c>
      <c r="D56" s="6" t="s">
        <v>106</v>
      </c>
      <c r="E56" s="2" t="s">
        <v>34</v>
      </c>
      <c r="F56" s="14">
        <f>Memorial!E53</f>
        <v>0.5</v>
      </c>
      <c r="G56" s="1">
        <v>12877.49</v>
      </c>
      <c r="H56" s="15">
        <f>ROUND(G56*(1+$I$5),2)</f>
        <v>16143.22</v>
      </c>
      <c r="I56" s="52">
        <f t="shared" ref="I56:I59" si="10">F56*H56</f>
        <v>8071.61</v>
      </c>
    </row>
    <row r="57" spans="1:12" x14ac:dyDescent="0.2">
      <c r="A57" s="51" t="s">
        <v>148</v>
      </c>
      <c r="B57" s="13" t="s">
        <v>55</v>
      </c>
      <c r="C57" s="6">
        <v>4805769</v>
      </c>
      <c r="D57" s="6" t="s">
        <v>60</v>
      </c>
      <c r="E57" s="2" t="s">
        <v>44</v>
      </c>
      <c r="F57" s="14">
        <f>Memorial!E54</f>
        <v>1375.55</v>
      </c>
      <c r="G57" s="1">
        <v>81.88</v>
      </c>
      <c r="H57" s="15">
        <f>ROUND(G57*(1+$I$5),2)</f>
        <v>102.64</v>
      </c>
      <c r="I57" s="52">
        <f t="shared" si="10"/>
        <v>141186.45199999999</v>
      </c>
    </row>
    <row r="58" spans="1:12" x14ac:dyDescent="0.2">
      <c r="A58" s="51" t="s">
        <v>149</v>
      </c>
      <c r="B58" s="13" t="s">
        <v>297</v>
      </c>
      <c r="C58" s="6">
        <v>93588</v>
      </c>
      <c r="D58" s="20" t="s">
        <v>67</v>
      </c>
      <c r="E58" s="2" t="s">
        <v>291</v>
      </c>
      <c r="F58" s="14">
        <f>Memorial!E55</f>
        <v>28611.440000000002</v>
      </c>
      <c r="G58" s="1">
        <v>1.1100000000000001</v>
      </c>
      <c r="H58" s="15">
        <f>ROUND(G58*(1+$I$5),2)</f>
        <v>1.39</v>
      </c>
      <c r="I58" s="52">
        <f t="shared" si="10"/>
        <v>39769.901599999997</v>
      </c>
    </row>
    <row r="59" spans="1:12" x14ac:dyDescent="0.2">
      <c r="A59" s="51" t="s">
        <v>150</v>
      </c>
      <c r="B59" s="13" t="s">
        <v>27</v>
      </c>
      <c r="C59" s="6">
        <v>99059</v>
      </c>
      <c r="D59" s="6" t="s">
        <v>67</v>
      </c>
      <c r="E59" s="2" t="s">
        <v>29</v>
      </c>
      <c r="F59" s="14">
        <f>Memorial!E56</f>
        <v>386.06</v>
      </c>
      <c r="G59" s="1">
        <v>50.07</v>
      </c>
      <c r="H59" s="15">
        <f>ROUND(G59*(1+$I$5),2)</f>
        <v>62.77</v>
      </c>
      <c r="I59" s="52">
        <f t="shared" si="10"/>
        <v>24232.986200000003</v>
      </c>
    </row>
    <row r="60" spans="1:12" ht="15.75" x14ac:dyDescent="0.2">
      <c r="A60" s="49" t="s">
        <v>19</v>
      </c>
      <c r="B60" s="46" t="s">
        <v>37</v>
      </c>
      <c r="C60" s="41"/>
      <c r="D60" s="41"/>
      <c r="E60" s="41"/>
      <c r="F60" s="41"/>
      <c r="G60" s="41"/>
      <c r="H60" s="41"/>
      <c r="I60" s="50">
        <f>SUM(I61:I68)</f>
        <v>492076.87090699997</v>
      </c>
    </row>
    <row r="61" spans="1:12" x14ac:dyDescent="0.2">
      <c r="A61" s="53" t="s">
        <v>151</v>
      </c>
      <c r="B61" s="13" t="s">
        <v>265</v>
      </c>
      <c r="C61" s="6">
        <v>2306116</v>
      </c>
      <c r="D61" s="6" t="s">
        <v>60</v>
      </c>
      <c r="E61" s="2" t="s">
        <v>29</v>
      </c>
      <c r="F61" s="3">
        <f>Memorial!E58</f>
        <v>540</v>
      </c>
      <c r="G61" s="1">
        <v>494.79</v>
      </c>
      <c r="H61" s="15">
        <f t="shared" ref="H61:H68" si="11">ROUND(G61*(1+$I$5),2)</f>
        <v>620.27</v>
      </c>
      <c r="I61" s="54">
        <f>F61*H61</f>
        <v>334945.8</v>
      </c>
    </row>
    <row r="62" spans="1:12" x14ac:dyDescent="0.2">
      <c r="A62" s="53" t="s">
        <v>152</v>
      </c>
      <c r="B62" s="13" t="s">
        <v>288</v>
      </c>
      <c r="C62" s="6">
        <v>100899</v>
      </c>
      <c r="D62" s="6" t="s">
        <v>67</v>
      </c>
      <c r="E62" s="2" t="s">
        <v>29</v>
      </c>
      <c r="F62" s="3">
        <f>Memorial!E59</f>
        <v>300</v>
      </c>
      <c r="G62" s="1">
        <v>88.79</v>
      </c>
      <c r="H62" s="15">
        <f t="shared" si="11"/>
        <v>111.31</v>
      </c>
      <c r="I62" s="54">
        <f>F62*H62</f>
        <v>33393</v>
      </c>
    </row>
    <row r="63" spans="1:12" ht="15.75" customHeight="1" x14ac:dyDescent="0.2">
      <c r="A63" s="53" t="s">
        <v>153</v>
      </c>
      <c r="B63" s="13" t="s">
        <v>117</v>
      </c>
      <c r="C63" s="6">
        <v>3108011</v>
      </c>
      <c r="D63" s="20" t="s">
        <v>60</v>
      </c>
      <c r="E63" s="2" t="s">
        <v>43</v>
      </c>
      <c r="F63" s="3">
        <f>Memorial!E60</f>
        <v>26.411000000000005</v>
      </c>
      <c r="G63" s="1">
        <v>141.61000000000001</v>
      </c>
      <c r="H63" s="15">
        <f t="shared" si="11"/>
        <v>177.52</v>
      </c>
      <c r="I63" s="54">
        <f t="shared" ref="I63:I68" si="12">F63*H63</f>
        <v>4688.4807200000014</v>
      </c>
    </row>
    <row r="64" spans="1:12" ht="15.75" customHeight="1" x14ac:dyDescent="0.2">
      <c r="A64" s="53" t="s">
        <v>154</v>
      </c>
      <c r="B64" s="13" t="s">
        <v>108</v>
      </c>
      <c r="C64" s="6">
        <v>30671</v>
      </c>
      <c r="D64" s="20" t="s">
        <v>106</v>
      </c>
      <c r="E64" s="2" t="s">
        <v>43</v>
      </c>
      <c r="F64" s="3">
        <f>Memorial!E61</f>
        <v>26.411000000000005</v>
      </c>
      <c r="G64" s="1">
        <v>26.99</v>
      </c>
      <c r="H64" s="15">
        <f t="shared" si="11"/>
        <v>33.83</v>
      </c>
      <c r="I64" s="54">
        <f t="shared" si="12"/>
        <v>893.48413000000016</v>
      </c>
    </row>
    <row r="65" spans="1:12" ht="15.75" customHeight="1" x14ac:dyDescent="0.2">
      <c r="A65" s="53" t="s">
        <v>155</v>
      </c>
      <c r="B65" s="13" t="s">
        <v>82</v>
      </c>
      <c r="C65" s="6">
        <v>5919533</v>
      </c>
      <c r="D65" s="20" t="s">
        <v>60</v>
      </c>
      <c r="E65" s="2" t="s">
        <v>69</v>
      </c>
      <c r="F65" s="3">
        <f>Memorial!E62</f>
        <v>96.399600000000007</v>
      </c>
      <c r="G65" s="1">
        <v>61.12</v>
      </c>
      <c r="H65" s="15">
        <f t="shared" si="11"/>
        <v>76.62</v>
      </c>
      <c r="I65" s="54">
        <f t="shared" si="12"/>
        <v>7386.1373520000006</v>
      </c>
    </row>
    <row r="66" spans="1:12" x14ac:dyDescent="0.2">
      <c r="A66" s="53" t="s">
        <v>156</v>
      </c>
      <c r="B66" s="13" t="s">
        <v>46</v>
      </c>
      <c r="C66" s="6">
        <v>99439</v>
      </c>
      <c r="D66" s="6" t="s">
        <v>67</v>
      </c>
      <c r="E66" s="2" t="s">
        <v>44</v>
      </c>
      <c r="F66" s="3">
        <f>Memorial!E63</f>
        <v>40.166500000000006</v>
      </c>
      <c r="G66" s="1">
        <v>645.14</v>
      </c>
      <c r="H66" s="15">
        <f t="shared" si="11"/>
        <v>808.75</v>
      </c>
      <c r="I66" s="54">
        <f t="shared" si="12"/>
        <v>32484.656875000004</v>
      </c>
    </row>
    <row r="67" spans="1:12" x14ac:dyDescent="0.2">
      <c r="A67" s="53" t="s">
        <v>209</v>
      </c>
      <c r="B67" s="13" t="s">
        <v>57</v>
      </c>
      <c r="C67" s="6">
        <v>103670</v>
      </c>
      <c r="D67" s="6" t="s">
        <v>67</v>
      </c>
      <c r="E67" s="2" t="s">
        <v>44</v>
      </c>
      <c r="F67" s="3">
        <f>Memorial!E64</f>
        <v>40.166500000000006</v>
      </c>
      <c r="G67" s="1">
        <v>294.37</v>
      </c>
      <c r="H67" s="15">
        <f t="shared" si="11"/>
        <v>369.02</v>
      </c>
      <c r="I67" s="54">
        <f t="shared" si="12"/>
        <v>14822.241830000001</v>
      </c>
    </row>
    <row r="68" spans="1:12" x14ac:dyDescent="0.2">
      <c r="A68" s="53" t="s">
        <v>287</v>
      </c>
      <c r="B68" s="13" t="s">
        <v>58</v>
      </c>
      <c r="C68" s="6">
        <v>40254</v>
      </c>
      <c r="D68" s="20" t="s">
        <v>106</v>
      </c>
      <c r="E68" s="2" t="s">
        <v>30</v>
      </c>
      <c r="F68" s="3">
        <f>Memorial!E65</f>
        <v>4016.6500000000005</v>
      </c>
      <c r="G68" s="1">
        <v>12.6</v>
      </c>
      <c r="H68" s="15">
        <f t="shared" si="11"/>
        <v>15.8</v>
      </c>
      <c r="I68" s="54">
        <f t="shared" si="12"/>
        <v>63463.070000000014</v>
      </c>
    </row>
    <row r="69" spans="1:12" ht="15.75" x14ac:dyDescent="0.2">
      <c r="A69" s="49" t="s">
        <v>35</v>
      </c>
      <c r="B69" s="46" t="s">
        <v>38</v>
      </c>
      <c r="C69" s="41"/>
      <c r="D69" s="41"/>
      <c r="E69" s="41"/>
      <c r="F69" s="41"/>
      <c r="G69" s="41"/>
      <c r="H69" s="41"/>
      <c r="I69" s="50">
        <f>SUM(I70:I75)</f>
        <v>902971.96829460002</v>
      </c>
    </row>
    <row r="70" spans="1:12" ht="15.75" customHeight="1" x14ac:dyDescent="0.2">
      <c r="A70" s="51" t="s">
        <v>157</v>
      </c>
      <c r="B70" s="13" t="s">
        <v>117</v>
      </c>
      <c r="C70" s="6">
        <v>3108011</v>
      </c>
      <c r="D70" s="20" t="s">
        <v>60</v>
      </c>
      <c r="E70" s="2" t="s">
        <v>43</v>
      </c>
      <c r="F70" s="14">
        <f>Memorial!E67</f>
        <v>1094.4960000000001</v>
      </c>
      <c r="G70" s="1">
        <v>141.61000000000001</v>
      </c>
      <c r="H70" s="15">
        <f t="shared" ref="H70:H75" si="13">ROUND(G70*(1+$I$5),2)</f>
        <v>177.52</v>
      </c>
      <c r="I70" s="52">
        <f t="shared" ref="I70:I75" si="14">H70*F70</f>
        <v>194294.92992000002</v>
      </c>
    </row>
    <row r="71" spans="1:12" ht="15.75" customHeight="1" x14ac:dyDescent="0.2">
      <c r="A71" s="51" t="s">
        <v>158</v>
      </c>
      <c r="B71" s="13" t="s">
        <v>108</v>
      </c>
      <c r="C71" s="6">
        <v>30671</v>
      </c>
      <c r="D71" s="20" t="s">
        <v>106</v>
      </c>
      <c r="E71" s="2" t="s">
        <v>43</v>
      </c>
      <c r="F71" s="14">
        <f>Memorial!E68</f>
        <v>1094.4960000000001</v>
      </c>
      <c r="G71" s="1">
        <v>26.99</v>
      </c>
      <c r="H71" s="15">
        <f t="shared" si="13"/>
        <v>33.83</v>
      </c>
      <c r="I71" s="52">
        <f t="shared" si="14"/>
        <v>37026.799680000004</v>
      </c>
    </row>
    <row r="72" spans="1:12" ht="15.75" customHeight="1" x14ac:dyDescent="0.2">
      <c r="A72" s="51" t="s">
        <v>159</v>
      </c>
      <c r="B72" s="13" t="s">
        <v>82</v>
      </c>
      <c r="C72" s="6">
        <v>5919533</v>
      </c>
      <c r="D72" s="20" t="s">
        <v>60</v>
      </c>
      <c r="E72" s="2" t="s">
        <v>69</v>
      </c>
      <c r="F72" s="14">
        <f>Memorial!E69</f>
        <v>547.97688000000005</v>
      </c>
      <c r="G72" s="1">
        <v>61.12</v>
      </c>
      <c r="H72" s="15">
        <f t="shared" si="13"/>
        <v>76.62</v>
      </c>
      <c r="I72" s="52">
        <f t="shared" si="14"/>
        <v>41985.988545600005</v>
      </c>
    </row>
    <row r="73" spans="1:12" x14ac:dyDescent="0.2">
      <c r="A73" s="51" t="s">
        <v>160</v>
      </c>
      <c r="B73" s="13" t="s">
        <v>46</v>
      </c>
      <c r="C73" s="6">
        <v>99439</v>
      </c>
      <c r="D73" s="6" t="s">
        <v>67</v>
      </c>
      <c r="E73" s="2" t="s">
        <v>44</v>
      </c>
      <c r="F73" s="14">
        <f>Memorial!E70</f>
        <v>228.32370000000003</v>
      </c>
      <c r="G73" s="1">
        <v>645.14</v>
      </c>
      <c r="H73" s="15">
        <f t="shared" si="13"/>
        <v>808.75</v>
      </c>
      <c r="I73" s="52">
        <f t="shared" si="14"/>
        <v>184656.79237500002</v>
      </c>
    </row>
    <row r="74" spans="1:12" x14ac:dyDescent="0.2">
      <c r="A74" s="51" t="s">
        <v>161</v>
      </c>
      <c r="B74" s="13" t="s">
        <v>57</v>
      </c>
      <c r="C74" s="6">
        <v>103670</v>
      </c>
      <c r="D74" s="6" t="s">
        <v>67</v>
      </c>
      <c r="E74" s="2" t="s">
        <v>44</v>
      </c>
      <c r="F74" s="14">
        <f>Memorial!E71</f>
        <v>228.32370000000003</v>
      </c>
      <c r="G74" s="1">
        <v>294.37</v>
      </c>
      <c r="H74" s="15">
        <f t="shared" si="13"/>
        <v>369.02</v>
      </c>
      <c r="I74" s="52">
        <f t="shared" si="14"/>
        <v>84256.011774000013</v>
      </c>
    </row>
    <row r="75" spans="1:12" x14ac:dyDescent="0.2">
      <c r="A75" s="51" t="s">
        <v>162</v>
      </c>
      <c r="B75" s="13" t="s">
        <v>58</v>
      </c>
      <c r="C75" s="6">
        <v>40254</v>
      </c>
      <c r="D75" s="20" t="s">
        <v>106</v>
      </c>
      <c r="E75" s="2" t="s">
        <v>30</v>
      </c>
      <c r="F75" s="14">
        <f>Memorial!E72</f>
        <v>22832.370000000003</v>
      </c>
      <c r="G75" s="1">
        <v>12.6</v>
      </c>
      <c r="H75" s="15">
        <f t="shared" si="13"/>
        <v>15.8</v>
      </c>
      <c r="I75" s="52">
        <f t="shared" si="14"/>
        <v>360751.44600000005</v>
      </c>
    </row>
    <row r="76" spans="1:12" ht="15.75" x14ac:dyDescent="0.2">
      <c r="A76" s="49" t="s">
        <v>45</v>
      </c>
      <c r="B76" s="46" t="s">
        <v>62</v>
      </c>
      <c r="C76" s="41"/>
      <c r="D76" s="41"/>
      <c r="E76" s="41"/>
      <c r="F76" s="41"/>
      <c r="G76" s="41"/>
      <c r="H76" s="41"/>
      <c r="I76" s="50">
        <f>SUM(I77:I91)</f>
        <v>1528439.1220023427</v>
      </c>
    </row>
    <row r="77" spans="1:12" ht="63" customHeight="1" x14ac:dyDescent="0.2">
      <c r="A77" s="55" t="s">
        <v>163</v>
      </c>
      <c r="B77" s="13" t="str">
        <f>CPU!C1</f>
        <v>VIGA METÁLICA EM PERFIL LAMINADO E/OU SOLDADO EM AÇO ESTRUTURAL, COM CONEXÕES PARAFUSADAS E/OU SOLDADAS - INCLUSIVE LANÇAMENTO COM COM GUINDASTE E PLANO RIGGING</v>
      </c>
      <c r="C77" s="16" t="str">
        <f>CPU!B1</f>
        <v>CPU-01</v>
      </c>
      <c r="D77" s="16" t="s">
        <v>104</v>
      </c>
      <c r="E77" s="6" t="s">
        <v>30</v>
      </c>
      <c r="F77" s="14">
        <f>Memorial!E74</f>
        <v>17199</v>
      </c>
      <c r="G77" s="1">
        <f>CPU!G10</f>
        <v>27.42</v>
      </c>
      <c r="H77" s="15">
        <f t="shared" ref="H77:H91" si="15">ROUND(G77*(1+$I$5),2)</f>
        <v>34.369999999999997</v>
      </c>
      <c r="I77" s="52">
        <f t="shared" ref="I77:I91" si="16">F77*H77</f>
        <v>591129.63</v>
      </c>
      <c r="K77" s="17"/>
    </row>
    <row r="78" spans="1:12" s="18" customFormat="1" ht="45" x14ac:dyDescent="0.2">
      <c r="A78" s="55" t="s">
        <v>164</v>
      </c>
      <c r="B78" s="13" t="s">
        <v>272</v>
      </c>
      <c r="C78" s="6" t="s">
        <v>114</v>
      </c>
      <c r="D78" s="6" t="s">
        <v>104</v>
      </c>
      <c r="E78" s="2" t="s">
        <v>30</v>
      </c>
      <c r="F78" s="14">
        <f>Memorial!E75</f>
        <v>5669.2800000000007</v>
      </c>
      <c r="G78" s="1">
        <f>CPU!G28</f>
        <v>46.56</v>
      </c>
      <c r="H78" s="15">
        <f>ROUND(G78*(1+$I$5),2)</f>
        <v>58.37</v>
      </c>
      <c r="I78" s="52">
        <f>F78*H78</f>
        <v>330915.87360000005</v>
      </c>
      <c r="K78" s="17"/>
      <c r="L78" s="12"/>
    </row>
    <row r="79" spans="1:12" x14ac:dyDescent="0.2">
      <c r="A79" s="55" t="s">
        <v>165</v>
      </c>
      <c r="B79" s="13" t="s">
        <v>243</v>
      </c>
      <c r="C79" s="16">
        <v>180230</v>
      </c>
      <c r="D79" s="16" t="s">
        <v>106</v>
      </c>
      <c r="E79" s="6" t="s">
        <v>43</v>
      </c>
      <c r="F79" s="14">
        <f>Memorial!E76</f>
        <v>800.38980000000004</v>
      </c>
      <c r="G79" s="1">
        <v>50</v>
      </c>
      <c r="H79" s="15">
        <f t="shared" si="15"/>
        <v>62.68</v>
      </c>
      <c r="I79" s="52">
        <f t="shared" si="16"/>
        <v>50168.432664</v>
      </c>
      <c r="K79" s="17"/>
    </row>
    <row r="80" spans="1:12" ht="18" customHeight="1" x14ac:dyDescent="0.2">
      <c r="A80" s="55" t="s">
        <v>166</v>
      </c>
      <c r="B80" s="13" t="s">
        <v>47</v>
      </c>
      <c r="C80" s="6">
        <v>100752</v>
      </c>
      <c r="D80" s="6" t="s">
        <v>67</v>
      </c>
      <c r="E80" s="2" t="s">
        <v>43</v>
      </c>
      <c r="F80" s="14">
        <f>Memorial!E77</f>
        <v>800.38980000000004</v>
      </c>
      <c r="G80" s="1">
        <v>51.08</v>
      </c>
      <c r="H80" s="15">
        <f t="shared" si="15"/>
        <v>64.03</v>
      </c>
      <c r="I80" s="52">
        <f t="shared" si="16"/>
        <v>51248.958894000003</v>
      </c>
      <c r="K80" s="17"/>
    </row>
    <row r="81" spans="1:12" x14ac:dyDescent="0.2">
      <c r="A81" s="55" t="s">
        <v>167</v>
      </c>
      <c r="B81" s="5" t="s">
        <v>242</v>
      </c>
      <c r="C81" s="6">
        <v>40491</v>
      </c>
      <c r="D81" s="6" t="s">
        <v>106</v>
      </c>
      <c r="E81" s="6" t="s">
        <v>30</v>
      </c>
      <c r="F81" s="14">
        <f>Memorial!E78</f>
        <v>17199</v>
      </c>
      <c r="G81" s="1">
        <v>12.76</v>
      </c>
      <c r="H81" s="15">
        <f t="shared" si="15"/>
        <v>16</v>
      </c>
      <c r="I81" s="52">
        <f t="shared" si="16"/>
        <v>275184</v>
      </c>
    </row>
    <row r="82" spans="1:12" x14ac:dyDescent="0.2">
      <c r="A82" s="55" t="s">
        <v>168</v>
      </c>
      <c r="B82" s="13" t="s">
        <v>48</v>
      </c>
      <c r="C82" s="6">
        <v>307731</v>
      </c>
      <c r="D82" s="6" t="s">
        <v>60</v>
      </c>
      <c r="E82" s="2" t="s">
        <v>50</v>
      </c>
      <c r="F82" s="14">
        <f>Memorial!E79</f>
        <v>18.600000000000001</v>
      </c>
      <c r="G82" s="1">
        <v>113.54</v>
      </c>
      <c r="H82" s="15">
        <f t="shared" si="15"/>
        <v>142.33000000000001</v>
      </c>
      <c r="I82" s="52">
        <f t="shared" si="16"/>
        <v>2647.3380000000006</v>
      </c>
      <c r="K82" s="17"/>
    </row>
    <row r="83" spans="1:12" ht="30" x14ac:dyDescent="0.2">
      <c r="A83" s="55" t="s">
        <v>169</v>
      </c>
      <c r="B83" s="13" t="s">
        <v>245</v>
      </c>
      <c r="C83" s="6" t="str">
        <f>CPU!B12</f>
        <v>CPU-02</v>
      </c>
      <c r="D83" s="6" t="s">
        <v>104</v>
      </c>
      <c r="E83" s="2" t="s">
        <v>43</v>
      </c>
      <c r="F83" s="14">
        <f>Memorial!E80</f>
        <v>180</v>
      </c>
      <c r="G83" s="1">
        <f>CPU!G16</f>
        <v>150.81</v>
      </c>
      <c r="H83" s="15">
        <f t="shared" si="15"/>
        <v>189.06</v>
      </c>
      <c r="I83" s="52">
        <f t="shared" si="16"/>
        <v>34030.800000000003</v>
      </c>
      <c r="K83" s="17"/>
    </row>
    <row r="84" spans="1:12" x14ac:dyDescent="0.2">
      <c r="A84" s="55" t="s">
        <v>210</v>
      </c>
      <c r="B84" s="13" t="s">
        <v>82</v>
      </c>
      <c r="C84" s="6">
        <v>5919533</v>
      </c>
      <c r="D84" s="20" t="s">
        <v>60</v>
      </c>
      <c r="E84" s="2" t="s">
        <v>69</v>
      </c>
      <c r="F84" s="14">
        <f>Memorial!E81</f>
        <v>117.30096</v>
      </c>
      <c r="G84" s="1">
        <v>61.12</v>
      </c>
      <c r="H84" s="15">
        <f t="shared" si="15"/>
        <v>76.62</v>
      </c>
      <c r="I84" s="52">
        <f t="shared" si="16"/>
        <v>8987.5995552000004</v>
      </c>
      <c r="K84" s="17"/>
    </row>
    <row r="85" spans="1:12" x14ac:dyDescent="0.2">
      <c r="A85" s="55" t="s">
        <v>211</v>
      </c>
      <c r="B85" s="13" t="s">
        <v>248</v>
      </c>
      <c r="C85" s="6">
        <v>1107910</v>
      </c>
      <c r="D85" s="6" t="s">
        <v>67</v>
      </c>
      <c r="E85" s="2" t="s">
        <v>44</v>
      </c>
      <c r="F85" s="14">
        <f>Memorial!E82</f>
        <v>48.875400000000006</v>
      </c>
      <c r="G85" s="1">
        <v>581.57000000000005</v>
      </c>
      <c r="H85" s="15">
        <f t="shared" si="15"/>
        <v>729.06</v>
      </c>
      <c r="I85" s="52">
        <f t="shared" si="16"/>
        <v>35633.099124</v>
      </c>
      <c r="K85" s="17"/>
    </row>
    <row r="86" spans="1:12" x14ac:dyDescent="0.2">
      <c r="A86" s="55" t="s">
        <v>212</v>
      </c>
      <c r="B86" s="13" t="s">
        <v>63</v>
      </c>
      <c r="C86" s="6">
        <f>C74</f>
        <v>103670</v>
      </c>
      <c r="D86" s="6" t="str">
        <f>D74</f>
        <v>SINAPI</v>
      </c>
      <c r="E86" s="2" t="s">
        <v>44</v>
      </c>
      <c r="F86" s="14">
        <f>Memorial!E83</f>
        <v>48.875400000000006</v>
      </c>
      <c r="G86" s="1">
        <v>294.37</v>
      </c>
      <c r="H86" s="15">
        <f t="shared" si="15"/>
        <v>369.02</v>
      </c>
      <c r="I86" s="52">
        <f t="shared" si="16"/>
        <v>18036.000108</v>
      </c>
      <c r="K86" s="17"/>
    </row>
    <row r="87" spans="1:12" x14ac:dyDescent="0.2">
      <c r="A87" s="55" t="s">
        <v>213</v>
      </c>
      <c r="B87" s="13" t="str">
        <f>B75</f>
        <v>ARMAÇÃO EM BARRA DE AÇO CA-50</v>
      </c>
      <c r="C87" s="6">
        <v>40254</v>
      </c>
      <c r="D87" s="20" t="s">
        <v>106</v>
      </c>
      <c r="E87" s="2" t="s">
        <v>30</v>
      </c>
      <c r="F87" s="14">
        <f>Memorial!E84</f>
        <v>1920.4071428571428</v>
      </c>
      <c r="G87" s="1">
        <v>12.6</v>
      </c>
      <c r="H87" s="15">
        <f t="shared" si="15"/>
        <v>15.8</v>
      </c>
      <c r="I87" s="52">
        <f t="shared" si="16"/>
        <v>30342.43285714286</v>
      </c>
      <c r="K87" s="17"/>
    </row>
    <row r="88" spans="1:12" s="18" customFormat="1" x14ac:dyDescent="0.2">
      <c r="A88" s="55" t="s">
        <v>214</v>
      </c>
      <c r="B88" s="13" t="s">
        <v>53</v>
      </c>
      <c r="C88" s="6">
        <v>3719530</v>
      </c>
      <c r="D88" s="6" t="s">
        <v>60</v>
      </c>
      <c r="E88" s="2" t="s">
        <v>29</v>
      </c>
      <c r="F88" s="14">
        <f>Memorial!E85</f>
        <v>43.18</v>
      </c>
      <c r="G88" s="1">
        <v>298.77</v>
      </c>
      <c r="H88" s="15">
        <f t="shared" si="15"/>
        <v>374.54</v>
      </c>
      <c r="I88" s="52">
        <f t="shared" si="16"/>
        <v>16172.637200000001</v>
      </c>
      <c r="K88" s="17"/>
      <c r="L88" s="12"/>
    </row>
    <row r="89" spans="1:12" s="18" customFormat="1" x14ac:dyDescent="0.2">
      <c r="A89" s="55" t="s">
        <v>215</v>
      </c>
      <c r="B89" s="13" t="s">
        <v>290</v>
      </c>
      <c r="C89" s="6">
        <v>1600438</v>
      </c>
      <c r="D89" s="20" t="s">
        <v>60</v>
      </c>
      <c r="E89" s="2" t="s">
        <v>44</v>
      </c>
      <c r="F89" s="14">
        <f>Memorial!E86</f>
        <v>77</v>
      </c>
      <c r="G89" s="1">
        <v>532.66</v>
      </c>
      <c r="H89" s="15">
        <f t="shared" si="15"/>
        <v>667.74</v>
      </c>
      <c r="I89" s="52">
        <f t="shared" si="16"/>
        <v>51415.98</v>
      </c>
      <c r="K89" s="17"/>
      <c r="L89" s="12"/>
    </row>
    <row r="90" spans="1:12" s="18" customFormat="1" x14ac:dyDescent="0.2">
      <c r="A90" s="55" t="s">
        <v>253</v>
      </c>
      <c r="B90" s="13" t="s">
        <v>292</v>
      </c>
      <c r="C90" s="6">
        <v>93588</v>
      </c>
      <c r="D90" s="6" t="s">
        <v>67</v>
      </c>
      <c r="E90" s="2" t="s">
        <v>291</v>
      </c>
      <c r="F90" s="14">
        <f>Memorial!E87</f>
        <v>2002.0000000000002</v>
      </c>
      <c r="G90" s="1">
        <v>3.2</v>
      </c>
      <c r="H90" s="15">
        <f t="shared" si="15"/>
        <v>4.01</v>
      </c>
      <c r="I90" s="52">
        <f t="shared" si="16"/>
        <v>8028.02</v>
      </c>
      <c r="K90" s="17"/>
      <c r="L90" s="12"/>
    </row>
    <row r="91" spans="1:12" s="18" customFormat="1" x14ac:dyDescent="0.2">
      <c r="A91" s="55" t="s">
        <v>273</v>
      </c>
      <c r="B91" s="13" t="s">
        <v>74</v>
      </c>
      <c r="C91" s="6">
        <v>3806410</v>
      </c>
      <c r="D91" s="6" t="s">
        <v>60</v>
      </c>
      <c r="E91" s="2" t="s">
        <v>44</v>
      </c>
      <c r="F91" s="14">
        <f>Memorial!E88</f>
        <v>308</v>
      </c>
      <c r="G91" s="1">
        <v>63.45</v>
      </c>
      <c r="H91" s="15">
        <f t="shared" si="15"/>
        <v>79.540000000000006</v>
      </c>
      <c r="I91" s="52">
        <f t="shared" si="16"/>
        <v>24498.320000000003</v>
      </c>
      <c r="K91" s="17"/>
      <c r="L91" s="12"/>
    </row>
    <row r="92" spans="1:12" ht="15.75" x14ac:dyDescent="0.2">
      <c r="A92" s="49" t="s">
        <v>113</v>
      </c>
      <c r="B92" s="46" t="s">
        <v>22</v>
      </c>
      <c r="C92" s="41"/>
      <c r="D92" s="41"/>
      <c r="E92" s="41"/>
      <c r="F92" s="41"/>
      <c r="G92" s="41"/>
      <c r="H92" s="41"/>
      <c r="I92" s="50">
        <f>SUM(I93:I93)</f>
        <v>6428</v>
      </c>
      <c r="K92" s="17"/>
    </row>
    <row r="93" spans="1:12" x14ac:dyDescent="0.2">
      <c r="A93" s="55" t="s">
        <v>170</v>
      </c>
      <c r="B93" s="4" t="s">
        <v>28</v>
      </c>
      <c r="C93" s="6">
        <v>210023</v>
      </c>
      <c r="D93" s="6" t="s">
        <v>106</v>
      </c>
      <c r="E93" s="2" t="s">
        <v>43</v>
      </c>
      <c r="F93" s="14">
        <f>Memorial!E90</f>
        <v>200</v>
      </c>
      <c r="G93" s="1">
        <v>25.64</v>
      </c>
      <c r="H93" s="15">
        <f>ROUND(G93*(1+$I$5),2)</f>
        <v>32.14</v>
      </c>
      <c r="I93" s="52">
        <f>F93*H93</f>
        <v>6428</v>
      </c>
    </row>
    <row r="94" spans="1:12" ht="15.75" x14ac:dyDescent="0.2">
      <c r="A94" s="118" t="s">
        <v>89</v>
      </c>
      <c r="B94" s="119"/>
      <c r="C94" s="119"/>
      <c r="D94" s="119"/>
      <c r="E94" s="119"/>
      <c r="F94" s="119"/>
      <c r="G94" s="119"/>
      <c r="H94" s="120"/>
      <c r="I94" s="58">
        <f>I55+I60+I69+I76+I92</f>
        <v>3143176.9110039426</v>
      </c>
    </row>
    <row r="95" spans="1:12" ht="15.75" x14ac:dyDescent="0.2">
      <c r="A95" s="116" t="s">
        <v>252</v>
      </c>
      <c r="B95" s="117"/>
      <c r="C95" s="117"/>
      <c r="D95" s="117"/>
      <c r="E95" s="117"/>
      <c r="F95" s="117"/>
      <c r="G95" s="117"/>
      <c r="H95" s="117"/>
      <c r="I95" s="112"/>
    </row>
    <row r="96" spans="1:12" ht="15.75" x14ac:dyDescent="0.2">
      <c r="A96" s="49" t="s">
        <v>7</v>
      </c>
      <c r="B96" s="46" t="s">
        <v>36</v>
      </c>
      <c r="C96" s="41"/>
      <c r="D96" s="41"/>
      <c r="E96" s="41"/>
      <c r="F96" s="41"/>
      <c r="G96" s="41"/>
      <c r="H96" s="41"/>
      <c r="I96" s="50">
        <f>SUM(I97:I102)</f>
        <v>190157.212</v>
      </c>
    </row>
    <row r="97" spans="1:9" x14ac:dyDescent="0.2">
      <c r="A97" s="51" t="s">
        <v>171</v>
      </c>
      <c r="B97" s="13" t="s">
        <v>290</v>
      </c>
      <c r="C97" s="6">
        <v>1600438</v>
      </c>
      <c r="D97" s="20" t="s">
        <v>60</v>
      </c>
      <c r="E97" s="2" t="s">
        <v>44</v>
      </c>
      <c r="F97" s="14">
        <f>Memorial!E93</f>
        <v>34</v>
      </c>
      <c r="G97" s="1">
        <v>532.66</v>
      </c>
      <c r="H97" s="15">
        <f t="shared" ref="H97:H102" si="17">ROUND(G97*(1+$I$5),2)</f>
        <v>667.74</v>
      </c>
      <c r="I97" s="52">
        <f>H97*F97</f>
        <v>22703.16</v>
      </c>
    </row>
    <row r="98" spans="1:9" x14ac:dyDescent="0.2">
      <c r="A98" s="51" t="s">
        <v>172</v>
      </c>
      <c r="B98" s="13" t="s">
        <v>311</v>
      </c>
      <c r="C98" s="6">
        <v>93588</v>
      </c>
      <c r="D98" s="20" t="s">
        <v>67</v>
      </c>
      <c r="E98" s="2" t="s">
        <v>291</v>
      </c>
      <c r="F98" s="14">
        <f>Memorial!E94</f>
        <v>884</v>
      </c>
      <c r="G98" s="1">
        <v>3.2</v>
      </c>
      <c r="H98" s="15">
        <f t="shared" si="17"/>
        <v>4.01</v>
      </c>
      <c r="I98" s="52">
        <f>H98*F98</f>
        <v>3544.8399999999997</v>
      </c>
    </row>
    <row r="99" spans="1:9" x14ac:dyDescent="0.2">
      <c r="A99" s="51" t="s">
        <v>173</v>
      </c>
      <c r="B99" s="13" t="s">
        <v>107</v>
      </c>
      <c r="C99" s="6">
        <v>32</v>
      </c>
      <c r="D99" s="6" t="s">
        <v>106</v>
      </c>
      <c r="E99" s="2" t="s">
        <v>34</v>
      </c>
      <c r="F99" s="14">
        <f>Memorial!E95</f>
        <v>0.5</v>
      </c>
      <c r="G99" s="1">
        <v>12877.48</v>
      </c>
      <c r="H99" s="15">
        <f t="shared" si="17"/>
        <v>16143.21</v>
      </c>
      <c r="I99" s="52">
        <f t="shared" ref="I99:I102" si="18">F99*H99</f>
        <v>8071.6049999999996</v>
      </c>
    </row>
    <row r="100" spans="1:9" x14ac:dyDescent="0.2">
      <c r="A100" s="51" t="s">
        <v>174</v>
      </c>
      <c r="B100" s="13" t="s">
        <v>55</v>
      </c>
      <c r="C100" s="6">
        <v>4805769</v>
      </c>
      <c r="D100" s="6" t="s">
        <v>60</v>
      </c>
      <c r="E100" s="2" t="s">
        <v>44</v>
      </c>
      <c r="F100" s="14">
        <f>Memorial!E96</f>
        <v>1000.4</v>
      </c>
      <c r="G100" s="1">
        <v>81.88</v>
      </c>
      <c r="H100" s="15">
        <f t="shared" si="17"/>
        <v>102.64</v>
      </c>
      <c r="I100" s="52">
        <f t="shared" si="18"/>
        <v>102681.056</v>
      </c>
    </row>
    <row r="101" spans="1:9" x14ac:dyDescent="0.2">
      <c r="A101" s="51" t="s">
        <v>308</v>
      </c>
      <c r="B101" s="13" t="s">
        <v>297</v>
      </c>
      <c r="C101" s="6">
        <v>93588</v>
      </c>
      <c r="D101" s="20" t="s">
        <v>67</v>
      </c>
      <c r="E101" s="2" t="s">
        <v>291</v>
      </c>
      <c r="F101" s="14">
        <f>Memorial!E97</f>
        <v>20808.32</v>
      </c>
      <c r="G101" s="1">
        <v>1.1100000000000001</v>
      </c>
      <c r="H101" s="15">
        <f t="shared" si="17"/>
        <v>1.39</v>
      </c>
      <c r="I101" s="52">
        <f t="shared" si="18"/>
        <v>28923.564799999996</v>
      </c>
    </row>
    <row r="102" spans="1:9" x14ac:dyDescent="0.2">
      <c r="A102" s="51" t="s">
        <v>309</v>
      </c>
      <c r="B102" s="13" t="s">
        <v>27</v>
      </c>
      <c r="C102" s="6">
        <v>99059</v>
      </c>
      <c r="D102" s="6" t="s">
        <v>67</v>
      </c>
      <c r="E102" s="2" t="s">
        <v>29</v>
      </c>
      <c r="F102" s="14">
        <f>Memorial!E98</f>
        <v>386.06</v>
      </c>
      <c r="G102" s="1">
        <v>50.07</v>
      </c>
      <c r="H102" s="15">
        <f t="shared" si="17"/>
        <v>62.77</v>
      </c>
      <c r="I102" s="52">
        <f t="shared" si="18"/>
        <v>24232.986200000003</v>
      </c>
    </row>
    <row r="103" spans="1:9" ht="15.75" x14ac:dyDescent="0.2">
      <c r="A103" s="49" t="s">
        <v>70</v>
      </c>
      <c r="B103" s="46" t="s">
        <v>37</v>
      </c>
      <c r="C103" s="41"/>
      <c r="D103" s="41"/>
      <c r="E103" s="41"/>
      <c r="F103" s="41"/>
      <c r="G103" s="41"/>
      <c r="H103" s="41"/>
      <c r="I103" s="50">
        <f>SUM(I104:I110)</f>
        <v>173875.67090700002</v>
      </c>
    </row>
    <row r="104" spans="1:9" x14ac:dyDescent="0.2">
      <c r="A104" s="53" t="s">
        <v>175</v>
      </c>
      <c r="B104" s="13" t="s">
        <v>268</v>
      </c>
      <c r="C104" s="6">
        <v>21140</v>
      </c>
      <c r="D104" s="6" t="s">
        <v>106</v>
      </c>
      <c r="E104" s="2" t="s">
        <v>29</v>
      </c>
      <c r="F104" s="3">
        <f>Memorial!E100</f>
        <v>160</v>
      </c>
      <c r="G104" s="1">
        <v>249.97</v>
      </c>
      <c r="H104" s="15">
        <f t="shared" ref="H104:H110" si="19">ROUND(G104*(1+$I$5),2)</f>
        <v>313.36</v>
      </c>
      <c r="I104" s="54">
        <f>F104*H104</f>
        <v>50137.600000000006</v>
      </c>
    </row>
    <row r="105" spans="1:9" ht="15.75" customHeight="1" x14ac:dyDescent="0.2">
      <c r="A105" s="53" t="s">
        <v>176</v>
      </c>
      <c r="B105" s="13" t="s">
        <v>117</v>
      </c>
      <c r="C105" s="6">
        <v>3108011</v>
      </c>
      <c r="D105" s="20" t="s">
        <v>60</v>
      </c>
      <c r="E105" s="2" t="s">
        <v>43</v>
      </c>
      <c r="F105" s="3">
        <f>Memorial!E101</f>
        <v>26.411000000000005</v>
      </c>
      <c r="G105" s="1">
        <v>141.61000000000001</v>
      </c>
      <c r="H105" s="15">
        <f t="shared" si="19"/>
        <v>177.52</v>
      </c>
      <c r="I105" s="54">
        <f t="shared" ref="I105:I110" si="20">F105*H105</f>
        <v>4688.4807200000014</v>
      </c>
    </row>
    <row r="106" spans="1:9" ht="15.75" customHeight="1" x14ac:dyDescent="0.2">
      <c r="A106" s="53" t="s">
        <v>177</v>
      </c>
      <c r="B106" s="13" t="s">
        <v>108</v>
      </c>
      <c r="C106" s="6">
        <v>30671</v>
      </c>
      <c r="D106" s="20" t="s">
        <v>106</v>
      </c>
      <c r="E106" s="2" t="s">
        <v>43</v>
      </c>
      <c r="F106" s="3">
        <f>Memorial!E102</f>
        <v>26.411000000000005</v>
      </c>
      <c r="G106" s="1">
        <v>26.99</v>
      </c>
      <c r="H106" s="15">
        <f t="shared" si="19"/>
        <v>33.83</v>
      </c>
      <c r="I106" s="54">
        <f t="shared" si="20"/>
        <v>893.48413000000016</v>
      </c>
    </row>
    <row r="107" spans="1:9" ht="15.75" customHeight="1" x14ac:dyDescent="0.2">
      <c r="A107" s="53" t="s">
        <v>178</v>
      </c>
      <c r="B107" s="13" t="s">
        <v>82</v>
      </c>
      <c r="C107" s="6">
        <v>5919533</v>
      </c>
      <c r="D107" s="20" t="s">
        <v>60</v>
      </c>
      <c r="E107" s="2" t="s">
        <v>69</v>
      </c>
      <c r="F107" s="3">
        <f>Memorial!E103</f>
        <v>96.399600000000007</v>
      </c>
      <c r="G107" s="1">
        <v>61.12</v>
      </c>
      <c r="H107" s="15">
        <f t="shared" si="19"/>
        <v>76.62</v>
      </c>
      <c r="I107" s="54">
        <f t="shared" si="20"/>
        <v>7386.1373520000006</v>
      </c>
    </row>
    <row r="108" spans="1:9" x14ac:dyDescent="0.2">
      <c r="A108" s="53" t="s">
        <v>179</v>
      </c>
      <c r="B108" s="13" t="s">
        <v>46</v>
      </c>
      <c r="C108" s="6">
        <v>99439</v>
      </c>
      <c r="D108" s="6" t="s">
        <v>67</v>
      </c>
      <c r="E108" s="2" t="s">
        <v>44</v>
      </c>
      <c r="F108" s="3">
        <f>Memorial!E104</f>
        <v>40.166500000000006</v>
      </c>
      <c r="G108" s="1">
        <v>645.14</v>
      </c>
      <c r="H108" s="15">
        <f t="shared" si="19"/>
        <v>808.75</v>
      </c>
      <c r="I108" s="54">
        <f t="shared" si="20"/>
        <v>32484.656875000004</v>
      </c>
    </row>
    <row r="109" spans="1:9" x14ac:dyDescent="0.2">
      <c r="A109" s="53" t="s">
        <v>180</v>
      </c>
      <c r="B109" s="13" t="s">
        <v>57</v>
      </c>
      <c r="C109" s="6">
        <v>103670</v>
      </c>
      <c r="D109" s="6" t="s">
        <v>67</v>
      </c>
      <c r="E109" s="2" t="s">
        <v>44</v>
      </c>
      <c r="F109" s="3">
        <f>Memorial!E105</f>
        <v>40.166500000000006</v>
      </c>
      <c r="G109" s="1">
        <v>294.37</v>
      </c>
      <c r="H109" s="15">
        <f t="shared" si="19"/>
        <v>369.02</v>
      </c>
      <c r="I109" s="54">
        <f t="shared" si="20"/>
        <v>14822.241830000001</v>
      </c>
    </row>
    <row r="110" spans="1:9" x14ac:dyDescent="0.2">
      <c r="A110" s="53" t="s">
        <v>216</v>
      </c>
      <c r="B110" s="13" t="s">
        <v>58</v>
      </c>
      <c r="C110" s="6">
        <v>40254</v>
      </c>
      <c r="D110" s="20" t="s">
        <v>106</v>
      </c>
      <c r="E110" s="2" t="s">
        <v>30</v>
      </c>
      <c r="F110" s="3">
        <f>Memorial!E106</f>
        <v>4016.6500000000005</v>
      </c>
      <c r="G110" s="1">
        <v>12.6</v>
      </c>
      <c r="H110" s="15">
        <f t="shared" si="19"/>
        <v>15.8</v>
      </c>
      <c r="I110" s="54">
        <f t="shared" si="20"/>
        <v>63463.070000000014</v>
      </c>
    </row>
    <row r="111" spans="1:9" ht="15.75" x14ac:dyDescent="0.2">
      <c r="A111" s="49" t="s">
        <v>71</v>
      </c>
      <c r="B111" s="46" t="s">
        <v>38</v>
      </c>
      <c r="C111" s="41"/>
      <c r="D111" s="41"/>
      <c r="E111" s="41"/>
      <c r="F111" s="41"/>
      <c r="G111" s="41"/>
      <c r="H111" s="41"/>
      <c r="I111" s="50">
        <f>SUM(I112:I117)</f>
        <v>378026.12443860003</v>
      </c>
    </row>
    <row r="112" spans="1:9" ht="15.75" customHeight="1" x14ac:dyDescent="0.2">
      <c r="A112" s="51" t="s">
        <v>181</v>
      </c>
      <c r="B112" s="13" t="s">
        <v>117</v>
      </c>
      <c r="C112" s="6">
        <v>3108011</v>
      </c>
      <c r="D112" s="20" t="s">
        <v>60</v>
      </c>
      <c r="E112" s="2" t="s">
        <v>43</v>
      </c>
      <c r="F112" s="14">
        <f>Memorial!E108</f>
        <v>330.36960000000005</v>
      </c>
      <c r="G112" s="1">
        <v>141.61000000000001</v>
      </c>
      <c r="H112" s="15">
        <f t="shared" ref="H112:H117" si="21">ROUND(G112*(1+$I$5),2)</f>
        <v>177.52</v>
      </c>
      <c r="I112" s="52">
        <f t="shared" ref="I112:I117" si="22">H112*F112</f>
        <v>58647.211392000012</v>
      </c>
    </row>
    <row r="113" spans="1:11" ht="15.75" customHeight="1" x14ac:dyDescent="0.2">
      <c r="A113" s="51" t="s">
        <v>182</v>
      </c>
      <c r="B113" s="13" t="s">
        <v>108</v>
      </c>
      <c r="C113" s="6">
        <v>30671</v>
      </c>
      <c r="D113" s="20" t="s">
        <v>106</v>
      </c>
      <c r="E113" s="2" t="s">
        <v>43</v>
      </c>
      <c r="F113" s="14">
        <f>Memorial!E109</f>
        <v>330.36960000000005</v>
      </c>
      <c r="G113" s="1">
        <v>26.99</v>
      </c>
      <c r="H113" s="15">
        <f t="shared" si="21"/>
        <v>33.83</v>
      </c>
      <c r="I113" s="52">
        <f t="shared" si="22"/>
        <v>11176.403568000002</v>
      </c>
    </row>
    <row r="114" spans="1:11" ht="15.75" customHeight="1" x14ac:dyDescent="0.2">
      <c r="A114" s="51" t="s">
        <v>183</v>
      </c>
      <c r="B114" s="13" t="s">
        <v>82</v>
      </c>
      <c r="C114" s="6">
        <v>5919533</v>
      </c>
      <c r="D114" s="20" t="s">
        <v>60</v>
      </c>
      <c r="E114" s="2" t="s">
        <v>69</v>
      </c>
      <c r="F114" s="14">
        <f>Memorial!E110</f>
        <v>251.45207999999997</v>
      </c>
      <c r="G114" s="1">
        <v>61.12</v>
      </c>
      <c r="H114" s="15">
        <f t="shared" si="21"/>
        <v>76.62</v>
      </c>
      <c r="I114" s="52">
        <f t="shared" si="22"/>
        <v>19266.2583696</v>
      </c>
    </row>
    <row r="115" spans="1:11" x14ac:dyDescent="0.2">
      <c r="A115" s="51" t="s">
        <v>184</v>
      </c>
      <c r="B115" s="13" t="s">
        <v>46</v>
      </c>
      <c r="C115" s="6">
        <v>99439</v>
      </c>
      <c r="D115" s="6" t="s">
        <v>67</v>
      </c>
      <c r="E115" s="2" t="s">
        <v>44</v>
      </c>
      <c r="F115" s="14">
        <f>Memorial!E111</f>
        <v>104.7717</v>
      </c>
      <c r="G115" s="1">
        <v>645.14</v>
      </c>
      <c r="H115" s="15">
        <f t="shared" si="21"/>
        <v>808.75</v>
      </c>
      <c r="I115" s="52">
        <f t="shared" si="22"/>
        <v>84734.112374999997</v>
      </c>
    </row>
    <row r="116" spans="1:11" x14ac:dyDescent="0.2">
      <c r="A116" s="51" t="s">
        <v>185</v>
      </c>
      <c r="B116" s="13" t="s">
        <v>57</v>
      </c>
      <c r="C116" s="6">
        <v>103670</v>
      </c>
      <c r="D116" s="6" t="s">
        <v>67</v>
      </c>
      <c r="E116" s="2" t="s">
        <v>44</v>
      </c>
      <c r="F116" s="14">
        <f>Memorial!E112</f>
        <v>104.7717</v>
      </c>
      <c r="G116" s="1">
        <v>294.37</v>
      </c>
      <c r="H116" s="15">
        <f t="shared" si="21"/>
        <v>369.02</v>
      </c>
      <c r="I116" s="52">
        <f t="shared" si="22"/>
        <v>38662.852734</v>
      </c>
    </row>
    <row r="117" spans="1:11" x14ac:dyDescent="0.2">
      <c r="A117" s="51" t="s">
        <v>186</v>
      </c>
      <c r="B117" s="13" t="s">
        <v>58</v>
      </c>
      <c r="C117" s="6">
        <v>40254</v>
      </c>
      <c r="D117" s="20" t="s">
        <v>106</v>
      </c>
      <c r="E117" s="2" t="s">
        <v>30</v>
      </c>
      <c r="F117" s="14">
        <f>Memorial!E113</f>
        <v>10477.17</v>
      </c>
      <c r="G117" s="1">
        <v>12.6</v>
      </c>
      <c r="H117" s="15">
        <f t="shared" si="21"/>
        <v>15.8</v>
      </c>
      <c r="I117" s="52">
        <f t="shared" si="22"/>
        <v>165539.28600000002</v>
      </c>
    </row>
    <row r="118" spans="1:11" ht="15.75" x14ac:dyDescent="0.2">
      <c r="A118" s="49" t="s">
        <v>72</v>
      </c>
      <c r="B118" s="46" t="s">
        <v>62</v>
      </c>
      <c r="C118" s="41"/>
      <c r="D118" s="41"/>
      <c r="E118" s="41"/>
      <c r="F118" s="41"/>
      <c r="G118" s="41"/>
      <c r="H118" s="41"/>
      <c r="I118" s="50">
        <f>SUM(I119:I129)</f>
        <v>548560.47664135601</v>
      </c>
    </row>
    <row r="119" spans="1:11" ht="48.75" customHeight="1" x14ac:dyDescent="0.2">
      <c r="A119" s="55" t="s">
        <v>187</v>
      </c>
      <c r="B119" s="13" t="str">
        <f>CPU!C1</f>
        <v>VIGA METÁLICA EM PERFIL LAMINADO E/OU SOLDADO EM AÇO ESTRUTURAL, COM CONEXÕES PARAFUSADAS E/OU SOLDADAS - INCLUSIVE LANÇAMENTO COM COM GUINDASTE E PLANO RIGGING</v>
      </c>
      <c r="C119" s="16" t="str">
        <f>CPU!B1</f>
        <v>CPU-01</v>
      </c>
      <c r="D119" s="16" t="s">
        <v>104</v>
      </c>
      <c r="E119" s="6" t="s">
        <v>30</v>
      </c>
      <c r="F119" s="14">
        <f>Memorial!E115</f>
        <v>8793.75</v>
      </c>
      <c r="G119" s="1">
        <f>CPU!G10</f>
        <v>27.42</v>
      </c>
      <c r="H119" s="15">
        <f t="shared" ref="H119:H129" si="23">ROUND(G119*(1+$I$5),2)</f>
        <v>34.369999999999997</v>
      </c>
      <c r="I119" s="52">
        <f t="shared" ref="I119:I129" si="24">F119*H119</f>
        <v>302241.1875</v>
      </c>
      <c r="K119" s="17"/>
    </row>
    <row r="120" spans="1:11" x14ac:dyDescent="0.2">
      <c r="A120" s="55" t="s">
        <v>188</v>
      </c>
      <c r="B120" s="13" t="s">
        <v>243</v>
      </c>
      <c r="C120" s="16">
        <v>180230</v>
      </c>
      <c r="D120" s="16" t="s">
        <v>106</v>
      </c>
      <c r="E120" s="6" t="s">
        <v>43</v>
      </c>
      <c r="F120" s="14">
        <f>Memorial!E116</f>
        <v>307.78125000000006</v>
      </c>
      <c r="G120" s="1">
        <v>50</v>
      </c>
      <c r="H120" s="15">
        <f t="shared" si="23"/>
        <v>62.68</v>
      </c>
      <c r="I120" s="52">
        <f t="shared" si="24"/>
        <v>19291.728750000002</v>
      </c>
      <c r="K120" s="17"/>
    </row>
    <row r="121" spans="1:11" ht="18" customHeight="1" x14ac:dyDescent="0.2">
      <c r="A121" s="55" t="s">
        <v>189</v>
      </c>
      <c r="B121" s="13" t="s">
        <v>47</v>
      </c>
      <c r="C121" s="6">
        <v>100752</v>
      </c>
      <c r="D121" s="6" t="s">
        <v>67</v>
      </c>
      <c r="E121" s="2" t="s">
        <v>43</v>
      </c>
      <c r="F121" s="14">
        <f>Memorial!E117</f>
        <v>307.78125000000006</v>
      </c>
      <c r="G121" s="1">
        <v>51.08</v>
      </c>
      <c r="H121" s="15">
        <f t="shared" si="23"/>
        <v>64.03</v>
      </c>
      <c r="I121" s="52">
        <f t="shared" si="24"/>
        <v>19707.233437500003</v>
      </c>
      <c r="K121" s="17"/>
    </row>
    <row r="122" spans="1:11" x14ac:dyDescent="0.2">
      <c r="A122" s="55" t="s">
        <v>190</v>
      </c>
      <c r="B122" s="5" t="s">
        <v>242</v>
      </c>
      <c r="C122" s="6">
        <v>40491</v>
      </c>
      <c r="D122" s="6" t="s">
        <v>106</v>
      </c>
      <c r="E122" s="6" t="s">
        <v>30</v>
      </c>
      <c r="F122" s="14">
        <f>Memorial!E118</f>
        <v>8793.75</v>
      </c>
      <c r="G122" s="1">
        <v>12.6</v>
      </c>
      <c r="H122" s="15">
        <f t="shared" si="23"/>
        <v>15.8</v>
      </c>
      <c r="I122" s="52">
        <f t="shared" si="24"/>
        <v>138941.25</v>
      </c>
    </row>
    <row r="123" spans="1:11" x14ac:dyDescent="0.2">
      <c r="A123" s="55" t="s">
        <v>191</v>
      </c>
      <c r="B123" s="13" t="s">
        <v>48</v>
      </c>
      <c r="C123" s="6">
        <v>307731</v>
      </c>
      <c r="D123" s="6" t="s">
        <v>60</v>
      </c>
      <c r="E123" s="2" t="s">
        <v>50</v>
      </c>
      <c r="F123" s="14">
        <f>Memorial!E119</f>
        <v>18.600000000000001</v>
      </c>
      <c r="G123" s="1">
        <v>113.54</v>
      </c>
      <c r="H123" s="15">
        <f t="shared" si="23"/>
        <v>142.33000000000001</v>
      </c>
      <c r="I123" s="52">
        <f t="shared" si="24"/>
        <v>2647.3380000000006</v>
      </c>
      <c r="K123" s="17"/>
    </row>
    <row r="124" spans="1:11" ht="30" x14ac:dyDescent="0.2">
      <c r="A124" s="55" t="s">
        <v>192</v>
      </c>
      <c r="B124" s="13" t="s">
        <v>49</v>
      </c>
      <c r="C124" s="6" t="str">
        <f>CPU!B12</f>
        <v>CPU-02</v>
      </c>
      <c r="D124" s="6" t="s">
        <v>104</v>
      </c>
      <c r="E124" s="2" t="s">
        <v>43</v>
      </c>
      <c r="F124" s="14">
        <f>Memorial!E120</f>
        <v>88.015200000000007</v>
      </c>
      <c r="G124" s="1">
        <f>CPU!G16</f>
        <v>150.81</v>
      </c>
      <c r="H124" s="15">
        <f t="shared" si="23"/>
        <v>189.06</v>
      </c>
      <c r="I124" s="52">
        <f t="shared" si="24"/>
        <v>16640.153712000003</v>
      </c>
      <c r="K124" s="17"/>
    </row>
    <row r="125" spans="1:11" x14ac:dyDescent="0.2">
      <c r="A125" s="55" t="s">
        <v>193</v>
      </c>
      <c r="B125" s="13" t="s">
        <v>82</v>
      </c>
      <c r="C125" s="6">
        <v>5919533</v>
      </c>
      <c r="D125" s="20" t="s">
        <v>60</v>
      </c>
      <c r="E125" s="2" t="s">
        <v>69</v>
      </c>
      <c r="F125" s="14">
        <f>Memorial!E121</f>
        <v>44.359660800000015</v>
      </c>
      <c r="G125" s="1">
        <v>61.12</v>
      </c>
      <c r="H125" s="15">
        <f t="shared" si="23"/>
        <v>76.62</v>
      </c>
      <c r="I125" s="52">
        <f t="shared" si="24"/>
        <v>3398.8372104960013</v>
      </c>
      <c r="K125" s="17"/>
    </row>
    <row r="126" spans="1:11" x14ac:dyDescent="0.2">
      <c r="A126" s="55" t="s">
        <v>217</v>
      </c>
      <c r="B126" s="13" t="s">
        <v>248</v>
      </c>
      <c r="C126" s="6">
        <v>1107910</v>
      </c>
      <c r="D126" s="6" t="s">
        <v>67</v>
      </c>
      <c r="E126" s="2" t="s">
        <v>44</v>
      </c>
      <c r="F126" s="14">
        <f>Memorial!E122</f>
        <v>18.483192000000006</v>
      </c>
      <c r="G126" s="1">
        <v>581.57000000000005</v>
      </c>
      <c r="H126" s="15">
        <f t="shared" si="23"/>
        <v>729.06</v>
      </c>
      <c r="I126" s="52">
        <f t="shared" si="24"/>
        <v>13475.355959520004</v>
      </c>
      <c r="K126" s="17"/>
    </row>
    <row r="127" spans="1:11" x14ac:dyDescent="0.2">
      <c r="A127" s="55" t="s">
        <v>218</v>
      </c>
      <c r="B127" s="13" t="s">
        <v>63</v>
      </c>
      <c r="C127" s="6">
        <f>C116</f>
        <v>103670</v>
      </c>
      <c r="D127" s="6" t="str">
        <f>D116</f>
        <v>SINAPI</v>
      </c>
      <c r="E127" s="2" t="s">
        <v>44</v>
      </c>
      <c r="F127" s="14">
        <f>Memorial!E123</f>
        <v>18.483192000000006</v>
      </c>
      <c r="G127" s="1">
        <v>294.37</v>
      </c>
      <c r="H127" s="15">
        <f t="shared" si="23"/>
        <v>369.02</v>
      </c>
      <c r="I127" s="52">
        <f t="shared" si="24"/>
        <v>6820.6675118400017</v>
      </c>
      <c r="K127" s="17"/>
    </row>
    <row r="128" spans="1:11" x14ac:dyDescent="0.2">
      <c r="A128" s="55" t="s">
        <v>219</v>
      </c>
      <c r="B128" s="13" t="str">
        <f>B117</f>
        <v>ARMAÇÃO EM BARRA DE AÇO CA-50</v>
      </c>
      <c r="C128" s="6">
        <v>40254</v>
      </c>
      <c r="D128" s="20" t="s">
        <v>106</v>
      </c>
      <c r="E128" s="2" t="s">
        <v>30</v>
      </c>
      <c r="F128" s="14">
        <f>Memorial!E124</f>
        <v>1034.1992</v>
      </c>
      <c r="G128" s="1">
        <v>12.6</v>
      </c>
      <c r="H128" s="15">
        <f t="shared" si="23"/>
        <v>15.8</v>
      </c>
      <c r="I128" s="52">
        <f t="shared" si="24"/>
        <v>16340.347360000002</v>
      </c>
      <c r="K128" s="17"/>
    </row>
    <row r="129" spans="1:12" s="18" customFormat="1" x14ac:dyDescent="0.2">
      <c r="A129" s="55" t="s">
        <v>220</v>
      </c>
      <c r="B129" s="13" t="s">
        <v>53</v>
      </c>
      <c r="C129" s="6">
        <v>3719530</v>
      </c>
      <c r="D129" s="6" t="s">
        <v>60</v>
      </c>
      <c r="E129" s="2" t="s">
        <v>29</v>
      </c>
      <c r="F129" s="14">
        <f>Memorial!E125</f>
        <v>24.18</v>
      </c>
      <c r="G129" s="1">
        <v>298.77</v>
      </c>
      <c r="H129" s="15">
        <f t="shared" si="23"/>
        <v>374.54</v>
      </c>
      <c r="I129" s="52">
        <f t="shared" si="24"/>
        <v>9056.3772000000008</v>
      </c>
      <c r="K129" s="17"/>
      <c r="L129" s="12"/>
    </row>
    <row r="130" spans="1:12" ht="15.75" x14ac:dyDescent="0.2">
      <c r="A130" s="49" t="s">
        <v>73</v>
      </c>
      <c r="B130" s="46" t="s">
        <v>22</v>
      </c>
      <c r="C130" s="41"/>
      <c r="D130" s="41"/>
      <c r="E130" s="41"/>
      <c r="F130" s="41"/>
      <c r="G130" s="41"/>
      <c r="H130" s="41"/>
      <c r="I130" s="50">
        <f>SUM(I131:I131)</f>
        <v>9642</v>
      </c>
      <c r="K130" s="17"/>
    </row>
    <row r="131" spans="1:12" x14ac:dyDescent="0.2">
      <c r="A131" s="55" t="s">
        <v>194</v>
      </c>
      <c r="B131" s="4" t="s">
        <v>28</v>
      </c>
      <c r="C131" s="6">
        <v>210023</v>
      </c>
      <c r="D131" s="6" t="s">
        <v>106</v>
      </c>
      <c r="E131" s="2" t="s">
        <v>43</v>
      </c>
      <c r="F131" s="14">
        <f>Memorial!E127</f>
        <v>300</v>
      </c>
      <c r="G131" s="1">
        <v>25.64</v>
      </c>
      <c r="H131" s="15">
        <f>ROUND(G131*(1+$I$5),2)</f>
        <v>32.14</v>
      </c>
      <c r="I131" s="52">
        <f>F131*H131</f>
        <v>9642</v>
      </c>
    </row>
    <row r="132" spans="1:12" ht="16.5" thickBot="1" x14ac:dyDescent="0.25">
      <c r="A132" s="118" t="s">
        <v>89</v>
      </c>
      <c r="B132" s="119"/>
      <c r="C132" s="119"/>
      <c r="D132" s="119"/>
      <c r="E132" s="119"/>
      <c r="F132" s="119"/>
      <c r="G132" s="119"/>
      <c r="H132" s="120"/>
      <c r="I132" s="56">
        <f>I96+I103+I111+I118+I130</f>
        <v>1300261.4839869561</v>
      </c>
    </row>
    <row r="133" spans="1:12" ht="15" customHeight="1" thickBot="1" x14ac:dyDescent="0.25">
      <c r="A133" s="113" t="s">
        <v>11</v>
      </c>
      <c r="B133" s="114"/>
      <c r="C133" s="114"/>
      <c r="D133" s="114"/>
      <c r="E133" s="114"/>
      <c r="F133" s="114"/>
      <c r="G133" s="114"/>
      <c r="H133" s="115"/>
      <c r="I133" s="57">
        <f>SUM(I8+I53+I132+I94)</f>
        <v>5641585.6410052273</v>
      </c>
    </row>
    <row r="135" spans="1:12" x14ac:dyDescent="0.2">
      <c r="I135" s="19"/>
    </row>
    <row r="136" spans="1:12" x14ac:dyDescent="0.2">
      <c r="I136" s="19"/>
    </row>
    <row r="138" spans="1:12" x14ac:dyDescent="0.2">
      <c r="J138" s="19"/>
    </row>
    <row r="139" spans="1:12" x14ac:dyDescent="0.2">
      <c r="I139" s="35"/>
    </row>
    <row r="143" spans="1:12" x14ac:dyDescent="0.2">
      <c r="I143" s="19"/>
    </row>
  </sheetData>
  <customSheetViews>
    <customSheetView guid="{9A9F92EC-0D2A-4945-BDAD-ACC34D60F595}" scale="85" fitToPage="1" topLeftCell="B55">
      <selection activeCell="C67" sqref="C67"/>
      <pageMargins left="0.51181102362204722" right="0.51181102362204722" top="1.3779527559055118" bottom="0.78740157480314965" header="0.31496062992125984" footer="0.31496062992125984"/>
      <pageSetup paperSize="9" scale="54" orientation="portrait" r:id="rId1"/>
    </customSheetView>
  </customSheetViews>
  <mergeCells count="20">
    <mergeCell ref="A16:I16"/>
    <mergeCell ref="A133:H133"/>
    <mergeCell ref="A95:I95"/>
    <mergeCell ref="A53:H53"/>
    <mergeCell ref="A132:H132"/>
    <mergeCell ref="A54:I54"/>
    <mergeCell ref="A94:H94"/>
    <mergeCell ref="A3:I3"/>
    <mergeCell ref="A4:I4"/>
    <mergeCell ref="A1:I2"/>
    <mergeCell ref="E6:E7"/>
    <mergeCell ref="C6:C7"/>
    <mergeCell ref="B6:B7"/>
    <mergeCell ref="A6:A7"/>
    <mergeCell ref="G6:G7"/>
    <mergeCell ref="H6:H7"/>
    <mergeCell ref="I6:I7"/>
    <mergeCell ref="F6:F7"/>
    <mergeCell ref="D6:D7"/>
    <mergeCell ref="D5:G5"/>
  </mergeCells>
  <phoneticPr fontId="10" type="noConversion"/>
  <pageMargins left="0.7" right="0.7" top="0.75" bottom="0.75" header="0.3" footer="0.3"/>
  <pageSetup paperSize="9" scale="63" fitToHeight="0" orientation="landscape" r:id="rId2"/>
  <rowBreaks count="2" manualBreakCount="2">
    <brk id="45" max="8" man="1"/>
    <brk id="91" max="8" man="1"/>
  </rowBreaks>
  <ignoredErrors>
    <ignoredError sqref="I51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BreakPreview" zoomScaleNormal="90" zoomScaleSheetLayoutView="100" workbookViewId="0">
      <selection activeCell="E77" sqref="E77"/>
    </sheetView>
  </sheetViews>
  <sheetFormatPr defaultRowHeight="14.25" x14ac:dyDescent="0.2"/>
  <cols>
    <col min="1" max="1" width="8.5703125" style="75" bestFit="1" customWidth="1"/>
    <col min="2" max="2" width="55.140625" style="78" customWidth="1"/>
    <col min="3" max="3" width="61.140625" style="78" customWidth="1"/>
    <col min="4" max="4" width="9.5703125" style="75" bestFit="1" customWidth="1"/>
    <col min="5" max="5" width="14.28515625" style="75" bestFit="1" customWidth="1"/>
    <col min="6" max="16384" width="9.140625" style="7"/>
  </cols>
  <sheetData>
    <row r="1" spans="1:5" ht="15" customHeight="1" x14ac:dyDescent="0.2">
      <c r="A1" s="124" t="str">
        <f>Planilha!A1</f>
        <v>PREFEITURA MUNICIPAL DE MATEUS LEME - MG</v>
      </c>
      <c r="B1" s="125"/>
      <c r="C1" s="125"/>
      <c r="D1" s="125"/>
      <c r="E1" s="126"/>
    </row>
    <row r="2" spans="1:5" ht="40.5" customHeight="1" x14ac:dyDescent="0.2">
      <c r="A2" s="127" t="str">
        <f>Planilha!A4</f>
        <v>CONSTRUÇÃO DE DUAS PONTES E UM VIADUTO - Estruturas em aço e concreto</v>
      </c>
      <c r="B2" s="128"/>
      <c r="C2" s="128"/>
      <c r="D2" s="128"/>
      <c r="E2" s="129"/>
    </row>
    <row r="3" spans="1:5" x14ac:dyDescent="0.2">
      <c r="A3" s="131" t="s">
        <v>40</v>
      </c>
      <c r="B3" s="132"/>
      <c r="C3" s="132"/>
      <c r="D3" s="132"/>
      <c r="E3" s="133"/>
    </row>
    <row r="4" spans="1:5" x14ac:dyDescent="0.2">
      <c r="A4" s="134" t="s">
        <v>0</v>
      </c>
      <c r="B4" s="135" t="s">
        <v>8</v>
      </c>
      <c r="C4" s="135" t="s">
        <v>39</v>
      </c>
      <c r="D4" s="135" t="s">
        <v>9</v>
      </c>
      <c r="E4" s="130" t="s">
        <v>10</v>
      </c>
    </row>
    <row r="5" spans="1:5" x14ac:dyDescent="0.2">
      <c r="A5" s="134"/>
      <c r="B5" s="135"/>
      <c r="C5" s="135"/>
      <c r="D5" s="135"/>
      <c r="E5" s="130"/>
    </row>
    <row r="6" spans="1:5" ht="15" x14ac:dyDescent="0.2">
      <c r="A6" s="73" t="str">
        <f>Planilha!A8</f>
        <v>0.1</v>
      </c>
      <c r="B6" s="77" t="str">
        <f>Planilha!B8</f>
        <v>SERVIÇOS PRELIMINARES</v>
      </c>
      <c r="C6" s="79"/>
      <c r="D6" s="74"/>
      <c r="E6" s="76"/>
    </row>
    <row r="7" spans="1:5" x14ac:dyDescent="0.2">
      <c r="A7" s="36" t="str">
        <f>Planilha!A9</f>
        <v>0.1.1</v>
      </c>
      <c r="B7" s="11" t="str">
        <f>Planilha!B9</f>
        <v>ADMINISTRAÇÃO LOCAL DA OBRA</v>
      </c>
      <c r="C7" s="11" t="s">
        <v>221</v>
      </c>
      <c r="D7" s="10" t="s">
        <v>34</v>
      </c>
      <c r="E7" s="9">
        <v>8</v>
      </c>
    </row>
    <row r="8" spans="1:5" ht="28.5" x14ac:dyDescent="0.2">
      <c r="A8" s="36" t="str">
        <f>Planilha!A10</f>
        <v>0.1.2</v>
      </c>
      <c r="B8" s="37" t="str">
        <f>Planilha!B10</f>
        <v>PROJETO DE FUNDAÇÕES</v>
      </c>
      <c r="C8" s="11" t="s">
        <v>254</v>
      </c>
      <c r="D8" s="10" t="str">
        <f>Planilha!E10</f>
        <v>M2</v>
      </c>
      <c r="E8" s="80">
        <f>(2.25+70.53)*2</f>
        <v>145.56</v>
      </c>
    </row>
    <row r="9" spans="1:5" ht="28.5" x14ac:dyDescent="0.2">
      <c r="A9" s="36" t="str">
        <f>Planilha!A11</f>
        <v>0.1.3</v>
      </c>
      <c r="B9" s="37" t="str">
        <f>Planilha!B11</f>
        <v>PROJETO EXECUTIVO ESTRUTURAL</v>
      </c>
      <c r="C9" s="11" t="s">
        <v>255</v>
      </c>
      <c r="D9" s="10" t="str">
        <f>Planilha!E11</f>
        <v>M2</v>
      </c>
      <c r="E9" s="80">
        <f>15.07*7.77+21.59*8.79+12.09*7.28</f>
        <v>394.8852</v>
      </c>
    </row>
    <row r="10" spans="1:5" ht="28.5" x14ac:dyDescent="0.2">
      <c r="A10" s="36" t="str">
        <f>Planilha!A12</f>
        <v>0.1.4</v>
      </c>
      <c r="B10" s="37" t="str">
        <f>Planilha!B12</f>
        <v>PLACA DE IDENTIFICAÇÃO DE OBRA</v>
      </c>
      <c r="C10" s="11" t="s">
        <v>223</v>
      </c>
      <c r="D10" s="10" t="str">
        <f>Planilha!E12</f>
        <v>M2</v>
      </c>
      <c r="E10" s="9">
        <f>2*3*3</f>
        <v>18</v>
      </c>
    </row>
    <row r="11" spans="1:5" x14ac:dyDescent="0.2">
      <c r="A11" s="36" t="str">
        <f>Planilha!A13</f>
        <v>0.1.5</v>
      </c>
      <c r="B11" s="37" t="str">
        <f>Planilha!B13</f>
        <v>LOCAÇÃO DE CONTAINER PARA ESCRITÓRIO</v>
      </c>
      <c r="C11" s="11" t="s">
        <v>222</v>
      </c>
      <c r="D11" s="10" t="str">
        <f>Planilha!E13</f>
        <v>MÊS</v>
      </c>
      <c r="E11" s="9">
        <f>1*8*3</f>
        <v>24</v>
      </c>
    </row>
    <row r="12" spans="1:5" ht="15.75" customHeight="1" x14ac:dyDescent="0.2">
      <c r="A12" s="36" t="str">
        <f>Planilha!A14</f>
        <v>0.1.6</v>
      </c>
      <c r="B12" s="37" t="str">
        <f>Planilha!B14</f>
        <v>LOCAÇÃO DE CONTAINER PARA DEPÓSITO</v>
      </c>
      <c r="C12" s="11" t="str">
        <f>C11</f>
        <v>1 CONTAINER POR OBRA * 8 MESES DE OBRA * 3 OBRAS</v>
      </c>
      <c r="D12" s="10" t="str">
        <f>Planilha!E14</f>
        <v>MÊS</v>
      </c>
      <c r="E12" s="9">
        <f>1*8*3</f>
        <v>24</v>
      </c>
    </row>
    <row r="13" spans="1:5" ht="28.5" x14ac:dyDescent="0.2">
      <c r="A13" s="36" t="str">
        <f>Planilha!A15</f>
        <v>0.1.7</v>
      </c>
      <c r="B13" s="37" t="str">
        <f>Planilha!B15</f>
        <v>GRUPO GERADOR 55KVA - COND. D</v>
      </c>
      <c r="C13" s="11" t="s">
        <v>224</v>
      </c>
      <c r="D13" s="10" t="str">
        <f>Planilha!E15</f>
        <v>H</v>
      </c>
      <c r="E13" s="9">
        <f>22*8*8*3</f>
        <v>4224</v>
      </c>
    </row>
    <row r="14" spans="1:5" ht="15" x14ac:dyDescent="0.2">
      <c r="A14" s="121" t="str">
        <f>Planilha!A16</f>
        <v>ALARGAMENTO DE PONTE MISTA 15,07x4,50m (TOTAL 15,07x7,77m)- BAIRRO CENTRAL</v>
      </c>
      <c r="B14" s="122"/>
      <c r="C14" s="122"/>
      <c r="D14" s="122"/>
      <c r="E14" s="123"/>
    </row>
    <row r="15" spans="1:5" ht="15" x14ac:dyDescent="0.2">
      <c r="A15" s="73" t="str">
        <f>Planilha!A17</f>
        <v>1.1</v>
      </c>
      <c r="B15" s="77" t="str">
        <f>Planilha!B17</f>
        <v>TERRAPLENAGEM</v>
      </c>
      <c r="C15" s="79"/>
      <c r="D15" s="74"/>
      <c r="E15" s="76"/>
    </row>
    <row r="16" spans="1:5" ht="28.5" x14ac:dyDescent="0.2">
      <c r="A16" s="8" t="str">
        <f>Planilha!A18</f>
        <v>1.1.1</v>
      </c>
      <c r="B16" s="11" t="str">
        <f>Planilha!B18</f>
        <v>EQUIPE DE SERVIÇO DE TOPOGRAFIA</v>
      </c>
      <c r="C16" s="11" t="s">
        <v>225</v>
      </c>
      <c r="D16" s="10" t="str">
        <f>Planilha!E18</f>
        <v>MÊS</v>
      </c>
      <c r="E16" s="9">
        <v>0.5</v>
      </c>
    </row>
    <row r="17" spans="1:5" ht="28.5" x14ac:dyDescent="0.2">
      <c r="A17" s="8" t="str">
        <f>Planilha!A19</f>
        <v>1.1.2</v>
      </c>
      <c r="B17" s="11" t="str">
        <f>Planilha!B19</f>
        <v>ESCAVAÇÃO E CARGA EM MATERIAL DE 2ª CATEGORIA</v>
      </c>
      <c r="C17" s="11" t="s">
        <v>256</v>
      </c>
      <c r="D17" s="10" t="str">
        <f>Planilha!E19</f>
        <v>M3</v>
      </c>
      <c r="E17" s="80">
        <f>2.25*4*2</f>
        <v>18</v>
      </c>
    </row>
    <row r="18" spans="1:5" ht="28.5" x14ac:dyDescent="0.2">
      <c r="A18" s="8" t="str">
        <f>Planilha!A20</f>
        <v>1.1.3</v>
      </c>
      <c r="B18" s="11" t="str">
        <f>Planilha!B20</f>
        <v>TRANSPORTE DE MATERIAL ESCAVADO</v>
      </c>
      <c r="C18" s="11" t="s">
        <v>296</v>
      </c>
      <c r="D18" s="10" t="str">
        <f>Planilha!E20</f>
        <v>M3XKM</v>
      </c>
      <c r="E18" s="80">
        <f>E17*1.3*1.6*10</f>
        <v>374.40000000000003</v>
      </c>
    </row>
    <row r="19" spans="1:5" ht="28.5" x14ac:dyDescent="0.2">
      <c r="A19" s="8" t="str">
        <f>Planilha!A21</f>
        <v>1.1.4</v>
      </c>
      <c r="B19" s="11" t="str">
        <f>Planilha!B21</f>
        <v>LOCAÇÃO CONVENCIONAL DE OBRA</v>
      </c>
      <c r="C19" s="11" t="s">
        <v>257</v>
      </c>
      <c r="D19" s="10" t="str">
        <f>Planilha!E21</f>
        <v>M</v>
      </c>
      <c r="E19" s="80">
        <f>45.68+6*2</f>
        <v>57.68</v>
      </c>
    </row>
    <row r="20" spans="1:5" ht="15" x14ac:dyDescent="0.2">
      <c r="A20" s="73" t="str">
        <f>Planilha!A22</f>
        <v>1.2</v>
      </c>
      <c r="B20" s="77" t="str">
        <f>Planilha!B22</f>
        <v>INFRAESTRUTURA</v>
      </c>
      <c r="C20" s="79"/>
      <c r="D20" s="74"/>
      <c r="E20" s="76"/>
    </row>
    <row r="21" spans="1:5" ht="28.5" x14ac:dyDescent="0.2">
      <c r="A21" s="8" t="str">
        <f>Planilha!A23</f>
        <v>1.2.1</v>
      </c>
      <c r="B21" s="11" t="str">
        <f>Planilha!B23</f>
        <v>ESTACA METÁLICA TRILHO TR-45</v>
      </c>
      <c r="C21" s="11" t="s">
        <v>266</v>
      </c>
      <c r="D21" s="10" t="str">
        <f>Planilha!E23</f>
        <v>M</v>
      </c>
      <c r="E21" s="80">
        <f>5*8*2</f>
        <v>80</v>
      </c>
    </row>
    <row r="22" spans="1:5" ht="28.5" x14ac:dyDescent="0.2">
      <c r="A22" s="8" t="str">
        <f>Planilha!A24</f>
        <v>1.2.2</v>
      </c>
      <c r="B22" s="11" t="str">
        <f>Planilha!B24</f>
        <v>FORMA DE MADEIRA COMPENSADA 12MM</v>
      </c>
      <c r="C22" s="11" t="s">
        <v>258</v>
      </c>
      <c r="D22" s="10" t="str">
        <f>Planilha!E24</f>
        <v>M2</v>
      </c>
      <c r="E22" s="80">
        <f>(6*1*2)*1.1</f>
        <v>13.200000000000001</v>
      </c>
    </row>
    <row r="23" spans="1:5" ht="28.5" x14ac:dyDescent="0.2">
      <c r="A23" s="8" t="str">
        <f>Planilha!A25</f>
        <v>1.2.3</v>
      </c>
      <c r="B23" s="11" t="str">
        <f>Planilha!B25</f>
        <v>DESMOLDAGEM DE FORMAS EM COMPENSADO</v>
      </c>
      <c r="C23" s="11" t="str">
        <f>C22</f>
        <v>6,00M DE PERIMETRO DOS BLOCOS * 1,00M DE ALTURA * 2 BLOCOS + 10% DE PERDAS</v>
      </c>
      <c r="D23" s="10" t="str">
        <f>Planilha!E25</f>
        <v>M2</v>
      </c>
      <c r="E23" s="80">
        <f>E22</f>
        <v>13.200000000000001</v>
      </c>
    </row>
    <row r="24" spans="1:5" ht="28.5" x14ac:dyDescent="0.2">
      <c r="A24" s="8" t="str">
        <f>Planilha!A26</f>
        <v>1.2.4</v>
      </c>
      <c r="B24" s="11" t="str">
        <f>Planilha!B26</f>
        <v xml:space="preserve">CARGA, TRANSPORTE E DESCARGA DE CONCRETO </v>
      </c>
      <c r="C24" s="11" t="s">
        <v>81</v>
      </c>
      <c r="D24" s="10" t="str">
        <f>Planilha!E26</f>
        <v>T</v>
      </c>
      <c r="E24" s="80">
        <f>E25*2.4</f>
        <v>11.88</v>
      </c>
    </row>
    <row r="25" spans="1:5" ht="28.5" x14ac:dyDescent="0.2">
      <c r="A25" s="8" t="str">
        <f>Planilha!A27</f>
        <v>1.2.5</v>
      </c>
      <c r="B25" s="11" t="str">
        <f>Planilha!B27</f>
        <v>CONCRETO USINADO FCK=25 MPA PARA BOMBEAMENTO</v>
      </c>
      <c r="C25" s="11" t="s">
        <v>259</v>
      </c>
      <c r="D25" s="10" t="str">
        <f>Planilha!E27</f>
        <v>M3</v>
      </c>
      <c r="E25" s="80">
        <f>(2.25*1*2)*1.1</f>
        <v>4.95</v>
      </c>
    </row>
    <row r="26" spans="1:5" x14ac:dyDescent="0.2">
      <c r="A26" s="8" t="str">
        <f>Planilha!A28</f>
        <v>1.2.6</v>
      </c>
      <c r="B26" s="11" t="str">
        <f>Planilha!B28</f>
        <v xml:space="preserve">LANÇAMENTO/BOMBEAMENTO DE CONCRETO </v>
      </c>
      <c r="C26" s="11" t="s">
        <v>233</v>
      </c>
      <c r="D26" s="10" t="str">
        <f>Planilha!E28</f>
        <v>M3</v>
      </c>
      <c r="E26" s="80">
        <f>E25</f>
        <v>4.95</v>
      </c>
    </row>
    <row r="27" spans="1:5" ht="28.5" x14ac:dyDescent="0.2">
      <c r="A27" s="8" t="str">
        <f>Planilha!A29</f>
        <v>1.2.7</v>
      </c>
      <c r="B27" s="11" t="str">
        <f>Planilha!B29</f>
        <v>ARMAÇÃO EM BARRA DE AÇO CA-50</v>
      </c>
      <c r="C27" s="11" t="s">
        <v>78</v>
      </c>
      <c r="D27" s="10" t="str">
        <f>Planilha!E29</f>
        <v>KG</v>
      </c>
      <c r="E27" s="80">
        <f>E25*100</f>
        <v>495</v>
      </c>
    </row>
    <row r="28" spans="1:5" ht="15" x14ac:dyDescent="0.2">
      <c r="A28" s="73" t="str">
        <f>Planilha!A30</f>
        <v>1.3</v>
      </c>
      <c r="B28" s="77" t="str">
        <f>Planilha!B30</f>
        <v>MESOESTRUTURA</v>
      </c>
      <c r="C28" s="79"/>
      <c r="D28" s="74"/>
      <c r="E28" s="76"/>
    </row>
    <row r="29" spans="1:5" ht="99.75" x14ac:dyDescent="0.2">
      <c r="A29" s="8" t="str">
        <f>Planilha!A31</f>
        <v>1.3.1</v>
      </c>
      <c r="B29" s="11" t="str">
        <f>Planilha!B31</f>
        <v>FORMA DE MADEIRA COMPENSADA 12MM</v>
      </c>
      <c r="C29" s="11" t="s">
        <v>306</v>
      </c>
      <c r="D29" s="10" t="str">
        <f>Planilha!E31</f>
        <v>M2</v>
      </c>
      <c r="E29" s="80">
        <f>((3.15*3*4)+(11*1*2)+(23.54*0.3*2)+(6.5*4.1*2))*1.1</f>
        <v>139.94640000000001</v>
      </c>
    </row>
    <row r="30" spans="1:5" ht="100.5" customHeight="1" x14ac:dyDescent="0.2">
      <c r="A30" s="8" t="str">
        <f>Planilha!A32</f>
        <v>1.3.2</v>
      </c>
      <c r="B30" s="11" t="str">
        <f>Planilha!B32</f>
        <v>DESMOLDAGEM DE FORMAS EM COMPENSADO</v>
      </c>
      <c r="C30" s="11" t="str">
        <f>C29</f>
        <v>3,15M DE PERIMETRO DOS PILARES DE APOIO * 3,00M DE ALTURA * 4 PILARES + 11,00M DE PERIMETRO DA TRANSVERSINA * 1,00M DE ALTURA * 2 VIGAS TRANSVERSINAS + 23,54M DE PERIMETRO DAS LAJES DE TRANSIÇÃO * 0,30M DE ALTURA * 2 LAJES + 6,50M DE PERIMETRO DE FORMA DE ALA A SER EXECUTADA * 4,10M DE ALTURA * 2 ALAS + 10% DE PERDAS</v>
      </c>
      <c r="D30" s="10" t="str">
        <f>Planilha!E32</f>
        <v>M2</v>
      </c>
      <c r="E30" s="80">
        <f>E29</f>
        <v>139.94640000000001</v>
      </c>
    </row>
    <row r="31" spans="1:5" ht="15.75" customHeight="1" x14ac:dyDescent="0.2">
      <c r="A31" s="8" t="str">
        <f>Planilha!A33</f>
        <v>1.3.3</v>
      </c>
      <c r="B31" s="11" t="str">
        <f>Planilha!B33</f>
        <v xml:space="preserve">CARGA, TRANSPORTE E DESCARGA DE CONCRETO </v>
      </c>
      <c r="C31" s="11" t="s">
        <v>81</v>
      </c>
      <c r="D31" s="10" t="s">
        <v>69</v>
      </c>
      <c r="E31" s="80">
        <f>E32*2.4</f>
        <v>130.48992000000001</v>
      </c>
    </row>
    <row r="32" spans="1:5" ht="85.5" x14ac:dyDescent="0.2">
      <c r="A32" s="8" t="str">
        <f>Planilha!A34</f>
        <v>1.3.4</v>
      </c>
      <c r="B32" s="11" t="str">
        <f>Planilha!B34</f>
        <v>CONCRETO USINADO FCK=25 MPA PARA BOMBEAMENTO</v>
      </c>
      <c r="C32" s="11" t="s">
        <v>307</v>
      </c>
      <c r="D32" s="10" t="str">
        <f>Planilha!E34</f>
        <v>M3</v>
      </c>
      <c r="E32" s="80">
        <f>((0.79*3*4)+(4.5*1*2)+(31.08*0.3*2)+(1.5*4.1*2))*1.1</f>
        <v>54.370800000000003</v>
      </c>
    </row>
    <row r="33" spans="1:5" x14ac:dyDescent="0.2">
      <c r="A33" s="8" t="str">
        <f>Planilha!A35</f>
        <v>1.3.5</v>
      </c>
      <c r="B33" s="11" t="str">
        <f>Planilha!B35</f>
        <v xml:space="preserve">LANÇAMENTO/BOMBEAMENTO DE CONCRETO </v>
      </c>
      <c r="C33" s="11" t="s">
        <v>234</v>
      </c>
      <c r="D33" s="10" t="str">
        <f>Planilha!E35</f>
        <v>M3</v>
      </c>
      <c r="E33" s="80">
        <f>E32</f>
        <v>54.370800000000003</v>
      </c>
    </row>
    <row r="34" spans="1:5" ht="28.5" x14ac:dyDescent="0.2">
      <c r="A34" s="8" t="str">
        <f>Planilha!A36</f>
        <v>1.3.6</v>
      </c>
      <c r="B34" s="11" t="str">
        <f>Planilha!B36</f>
        <v>ARMAÇÃO EM BARRA DE AÇO CA-50</v>
      </c>
      <c r="C34" s="11" t="s">
        <v>79</v>
      </c>
      <c r="D34" s="10" t="str">
        <f>Planilha!E36</f>
        <v>KG</v>
      </c>
      <c r="E34" s="80">
        <f>E32*100</f>
        <v>5437.08</v>
      </c>
    </row>
    <row r="35" spans="1:5" ht="15" x14ac:dyDescent="0.2">
      <c r="A35" s="73" t="str">
        <f>Planilha!A37</f>
        <v>1.4</v>
      </c>
      <c r="B35" s="77" t="str">
        <f>Planilha!B37</f>
        <v>SUPERESTRUTURA</v>
      </c>
      <c r="C35" s="79"/>
      <c r="D35" s="74"/>
      <c r="E35" s="81"/>
    </row>
    <row r="36" spans="1:5" ht="171" x14ac:dyDescent="0.2">
      <c r="A36" s="8" t="str">
        <f>Planilha!A38</f>
        <v>1.4.1</v>
      </c>
      <c r="B36" s="11" t="str">
        <f>Planilha!B38</f>
        <v>VIGA METÁLICA EM PERFIL LAMINADO E/OU SOLDADO EM AÇO ESTRUTURAL, COM CONEXÕES PARAFUSADAS E/OU SOLDADAS - INCLUSIVE LANÇAMENTO COM COM GUINDASTE E PLANO RIGGING</v>
      </c>
      <c r="C36" s="11" t="s">
        <v>239</v>
      </c>
      <c r="D36" s="10" t="str">
        <f>Planilha!E38</f>
        <v>KG</v>
      </c>
      <c r="E36" s="80">
        <f>(4650+160+215+40+70+750+150+300+150)*1.05</f>
        <v>6809.25</v>
      </c>
    </row>
    <row r="37" spans="1:5" ht="28.5" x14ac:dyDescent="0.2">
      <c r="A37" s="8" t="str">
        <f>Planilha!A39</f>
        <v>1.4.2</v>
      </c>
      <c r="B37" s="11" t="str">
        <f>Planilha!B39</f>
        <v>JATEAMENTO DE ESTRUTURA METÁLICA</v>
      </c>
      <c r="C37" s="11" t="s">
        <v>80</v>
      </c>
      <c r="D37" s="10" t="str">
        <f>D38</f>
        <v>M2</v>
      </c>
      <c r="E37" s="80">
        <f>(E36*0.035)</f>
        <v>238.32375000000002</v>
      </c>
    </row>
    <row r="38" spans="1:5" ht="57" x14ac:dyDescent="0.2">
      <c r="A38" s="8" t="str">
        <f>Planilha!A40</f>
        <v>1.4.3</v>
      </c>
      <c r="B38" s="11" t="str">
        <f>Planilha!B40</f>
        <v>PINTURA EPÓXI BICOMPONENTE EM ESTRUTURAS METÁLICAS</v>
      </c>
      <c r="C38" s="11" t="s">
        <v>281</v>
      </c>
      <c r="D38" s="10" t="str">
        <f>Planilha!E40</f>
        <v>M2</v>
      </c>
      <c r="E38" s="80">
        <f>(E36*0.035)+(200*15.07*1.5*0.035)</f>
        <v>396.55875000000003</v>
      </c>
    </row>
    <row r="39" spans="1:5" ht="28.5" x14ac:dyDescent="0.2">
      <c r="A39" s="8" t="str">
        <f>Planilha!A41</f>
        <v>1.4.4</v>
      </c>
      <c r="B39" s="11" t="str">
        <f>Planilha!B41</f>
        <v>MONTAGEM DE PERFIL AÇO ASTM A572/A36 + FIXAÇÕES</v>
      </c>
      <c r="C39" s="11" t="s">
        <v>109</v>
      </c>
      <c r="D39" s="10" t="str">
        <f>Planilha!E41</f>
        <v>KG</v>
      </c>
      <c r="E39" s="80">
        <f>E36</f>
        <v>6809.25</v>
      </c>
    </row>
    <row r="40" spans="1:5" ht="28.5" x14ac:dyDescent="0.2">
      <c r="A40" s="8" t="str">
        <f>Planilha!A42</f>
        <v>1.4.5</v>
      </c>
      <c r="B40" s="11" t="str">
        <f>Planilha!B42</f>
        <v>APARELHO DE APOIO EM NEOPRENE FRETADO</v>
      </c>
      <c r="C40" s="11" t="s">
        <v>226</v>
      </c>
      <c r="D40" s="10" t="str">
        <f>Planilha!E42</f>
        <v>DM3</v>
      </c>
      <c r="E40" s="80">
        <f>0.31*2.5*3*2*2</f>
        <v>9.3000000000000007</v>
      </c>
    </row>
    <row r="41" spans="1:5" ht="28.5" x14ac:dyDescent="0.2">
      <c r="A41" s="8" t="str">
        <f>Planilha!A43</f>
        <v>1.4.6</v>
      </c>
      <c r="B41" s="11" t="str">
        <f>Planilha!B43</f>
        <v>TELHA-FÔRMA EM CHAPA DE AÇO ZINCADO (STEEL DECK), E = 0,80 MM, SEM PINTURA</v>
      </c>
      <c r="C41" s="11" t="s">
        <v>111</v>
      </c>
      <c r="D41" s="10" t="str">
        <f>Planilha!E43</f>
        <v>M2</v>
      </c>
      <c r="E41" s="80">
        <f>15*5</f>
        <v>75</v>
      </c>
    </row>
    <row r="42" spans="1:5" ht="16.5" customHeight="1" x14ac:dyDescent="0.2">
      <c r="A42" s="8" t="str">
        <f>Planilha!A44</f>
        <v>1.4.7</v>
      </c>
      <c r="B42" s="11" t="str">
        <f>Planilha!B44</f>
        <v xml:space="preserve">CARGA, TRANSPORTE E DESCARGA DE CONCRETO </v>
      </c>
      <c r="C42" s="11" t="s">
        <v>81</v>
      </c>
      <c r="D42" s="10" t="s">
        <v>44</v>
      </c>
      <c r="E42" s="80">
        <f>E43*2.4</f>
        <v>36</v>
      </c>
    </row>
    <row r="43" spans="1:5" ht="28.5" x14ac:dyDescent="0.2">
      <c r="A43" s="8" t="str">
        <f>Planilha!A45</f>
        <v>1.4.8</v>
      </c>
      <c r="B43" s="11" t="str">
        <f>Planilha!B45</f>
        <v xml:space="preserve">CONCRETO  AUTO ADENSÁVEL - FCK 30 MPA </v>
      </c>
      <c r="C43" s="11" t="s">
        <v>76</v>
      </c>
      <c r="D43" s="10" t="str">
        <f>Planilha!E45</f>
        <v>M3</v>
      </c>
      <c r="E43" s="80">
        <f>15*5*0.2</f>
        <v>15</v>
      </c>
    </row>
    <row r="44" spans="1:5" x14ac:dyDescent="0.2">
      <c r="A44" s="8" t="str">
        <f>Planilha!A46</f>
        <v>1.4.9</v>
      </c>
      <c r="B44" s="11" t="str">
        <f>Planilha!B46</f>
        <v xml:space="preserve">LANÇAMENTO/APLICAÇÃO DO CONCRETO </v>
      </c>
      <c r="C44" s="11" t="s">
        <v>235</v>
      </c>
      <c r="D44" s="10" t="str">
        <f>Planilha!E46</f>
        <v>M3</v>
      </c>
      <c r="E44" s="80">
        <f>E43</f>
        <v>15</v>
      </c>
    </row>
    <row r="45" spans="1:5" ht="88.5" customHeight="1" x14ac:dyDescent="0.2">
      <c r="A45" s="8" t="str">
        <f>Planilha!A47</f>
        <v>1.4.10</v>
      </c>
      <c r="B45" s="11" t="str">
        <f>Planilha!B47</f>
        <v>ARMAÇÃO EM BARRA DE AÇO CA-50</v>
      </c>
      <c r="C45" s="11" t="s">
        <v>260</v>
      </c>
      <c r="D45" s="10" t="str">
        <f>Planilha!E47</f>
        <v>KG</v>
      </c>
      <c r="E45" s="80">
        <f>((15/0.21)*4.5*0.617)+(((15/0.5)+1)*4.5*0.735)+(3.11*2*15.07*4.5)</f>
        <v>722.66322857142859</v>
      </c>
    </row>
    <row r="46" spans="1:5" ht="14.25" customHeight="1" x14ac:dyDescent="0.2">
      <c r="A46" s="8" t="str">
        <f>Planilha!A48</f>
        <v>1.4.11</v>
      </c>
      <c r="B46" s="11" t="str">
        <f>Planilha!B48</f>
        <v>BARREIRA NEW JERSEY</v>
      </c>
      <c r="C46" s="11" t="s">
        <v>238</v>
      </c>
      <c r="D46" s="10" t="str">
        <f>Planilha!E48</f>
        <v>M</v>
      </c>
      <c r="E46" s="80">
        <f>15*2</f>
        <v>30</v>
      </c>
    </row>
    <row r="47" spans="1:5" ht="28.5" customHeight="1" x14ac:dyDescent="0.2">
      <c r="A47" s="8" t="str">
        <f>Planilha!A49</f>
        <v>1.4.12</v>
      </c>
      <c r="B47" s="11" t="str">
        <f>Planilha!B49</f>
        <v>LIMPEZA DE SUPERFICIE COM LAVA A JATO</v>
      </c>
      <c r="C47" s="11" t="s">
        <v>283</v>
      </c>
      <c r="D47" s="10" t="str">
        <f>Planilha!E49</f>
        <v>M2</v>
      </c>
      <c r="E47" s="80">
        <f>22.6+15.07*1.1*2</f>
        <v>55.754000000000005</v>
      </c>
    </row>
    <row r="48" spans="1:5" ht="28.5" customHeight="1" x14ac:dyDescent="0.2">
      <c r="A48" s="8" t="str">
        <f>Planilha!A50</f>
        <v>1.4.13</v>
      </c>
      <c r="B48" s="11" t="str">
        <f>Planilha!B50</f>
        <v>REMOÇÃO DE DEFENSAS METÁLICAS</v>
      </c>
      <c r="C48" s="11" t="s">
        <v>286</v>
      </c>
      <c r="D48" s="10" t="str">
        <f>Planilha!E50</f>
        <v>M</v>
      </c>
      <c r="E48" s="80">
        <f>15.07</f>
        <v>15.07</v>
      </c>
    </row>
    <row r="49" spans="1:6" ht="15" x14ac:dyDescent="0.2">
      <c r="A49" s="73" t="str">
        <f>Planilha!A51</f>
        <v>1.5</v>
      </c>
      <c r="B49" s="77" t="str">
        <f>Planilha!B51</f>
        <v>SERVIÇOS COMPLEMENTARES</v>
      </c>
      <c r="C49" s="79"/>
      <c r="D49" s="74"/>
      <c r="E49" s="81"/>
    </row>
    <row r="50" spans="1:6" x14ac:dyDescent="0.2">
      <c r="A50" s="8" t="str">
        <f>Planilha!A52</f>
        <v>1.5.1</v>
      </c>
      <c r="B50" s="11" t="str">
        <f>Planilha!B52</f>
        <v>LIMPEZA GERAL DA OBRA</v>
      </c>
      <c r="C50" s="11" t="s">
        <v>227</v>
      </c>
      <c r="D50" s="10" t="str">
        <f>Planilha!E52</f>
        <v>M2</v>
      </c>
      <c r="E50" s="80">
        <f>10*10*2</f>
        <v>200</v>
      </c>
      <c r="F50" s="82"/>
    </row>
    <row r="51" spans="1:6" ht="15" x14ac:dyDescent="0.2">
      <c r="A51" s="121" t="str">
        <f>Planilha!A54</f>
        <v>VIADUTO 21,59x8,79m - BAIRRO CENTRAL</v>
      </c>
      <c r="B51" s="122"/>
      <c r="C51" s="122"/>
      <c r="D51" s="122"/>
      <c r="E51" s="123"/>
    </row>
    <row r="52" spans="1:6" ht="15" x14ac:dyDescent="0.2">
      <c r="A52" s="73" t="str">
        <f>Planilha!A55</f>
        <v>2.1</v>
      </c>
      <c r="B52" s="77" t="str">
        <f>Planilha!B55</f>
        <v>TERRAPLENAGEM</v>
      </c>
      <c r="C52" s="79"/>
      <c r="D52" s="74"/>
      <c r="E52" s="76"/>
    </row>
    <row r="53" spans="1:6" ht="28.5" x14ac:dyDescent="0.2">
      <c r="A53" s="8" t="str">
        <f>Planilha!A56</f>
        <v>2.1.1</v>
      </c>
      <c r="B53" s="11" t="str">
        <f>Planilha!B56</f>
        <v>EQUIPE DE SERVIÇO DE TOPOGRAFIA</v>
      </c>
      <c r="C53" s="11" t="s">
        <v>225</v>
      </c>
      <c r="D53" s="10" t="str">
        <f>Planilha!E56</f>
        <v>MÊS</v>
      </c>
      <c r="E53" s="80">
        <v>0.5</v>
      </c>
    </row>
    <row r="54" spans="1:6" ht="42.75" x14ac:dyDescent="0.2">
      <c r="A54" s="8" t="str">
        <f>Planilha!A57</f>
        <v>2.1.2</v>
      </c>
      <c r="B54" s="11" t="str">
        <f>Planilha!B57</f>
        <v>ESCAVAÇÃO E CARGA EM MATERIAL DE 2ª CATEGORIA</v>
      </c>
      <c r="C54" s="11" t="s">
        <v>246</v>
      </c>
      <c r="D54" s="10" t="str">
        <f>Planilha!E57</f>
        <v>M3</v>
      </c>
      <c r="E54" s="80">
        <f>125.05*5.5*2</f>
        <v>1375.55</v>
      </c>
    </row>
    <row r="55" spans="1:6" ht="28.5" x14ac:dyDescent="0.2">
      <c r="A55" s="8" t="str">
        <f>Planilha!A58</f>
        <v>2.1.3</v>
      </c>
      <c r="B55" s="11" t="str">
        <f>Planilha!B58</f>
        <v>TRANSPORTE DE MATERIAL ESCAVADO</v>
      </c>
      <c r="C55" s="11" t="s">
        <v>296</v>
      </c>
      <c r="D55" s="10" t="str">
        <f>Planilha!E58</f>
        <v>M3XKM</v>
      </c>
      <c r="E55" s="80">
        <f>E54*1.3*1.6*10</f>
        <v>28611.440000000002</v>
      </c>
    </row>
    <row r="56" spans="1:6" ht="28.5" x14ac:dyDescent="0.2">
      <c r="A56" s="8" t="str">
        <f>Planilha!A59</f>
        <v>2.1.4</v>
      </c>
      <c r="B56" s="11" t="str">
        <f>Planilha!B59</f>
        <v>LOCAÇÃO CONVENCIONAL DE OBRA</v>
      </c>
      <c r="C56" s="11" t="s">
        <v>77</v>
      </c>
      <c r="D56" s="10" t="str">
        <f>Planilha!E59</f>
        <v>M</v>
      </c>
      <c r="E56" s="80">
        <f>20*12+73.03*2</f>
        <v>386.06</v>
      </c>
    </row>
    <row r="57" spans="1:6" ht="15" x14ac:dyDescent="0.2">
      <c r="A57" s="73" t="str">
        <f>Planilha!A60</f>
        <v>2.2</v>
      </c>
      <c r="B57" s="77" t="str">
        <f>Planilha!B60</f>
        <v>INFRAESTRUTURA</v>
      </c>
      <c r="C57" s="79"/>
      <c r="D57" s="74"/>
      <c r="E57" s="81"/>
    </row>
    <row r="58" spans="1:6" ht="28.5" x14ac:dyDescent="0.2">
      <c r="A58" s="8" t="str">
        <f>Planilha!A61</f>
        <v>2.2.1</v>
      </c>
      <c r="B58" s="11" t="str">
        <f>Planilha!B61</f>
        <v>ESTACA METÁLICA TRILHO TR-45</v>
      </c>
      <c r="C58" s="87" t="s">
        <v>275</v>
      </c>
      <c r="D58" s="88" t="str">
        <f>Planilha!E61</f>
        <v>M</v>
      </c>
      <c r="E58" s="80">
        <f>18*15*2</f>
        <v>540</v>
      </c>
    </row>
    <row r="59" spans="1:6" ht="28.5" x14ac:dyDescent="0.2">
      <c r="A59" s="8" t="str">
        <f>Planilha!A62</f>
        <v>2.2.2</v>
      </c>
      <c r="B59" s="11" t="str">
        <f>Planilha!B62</f>
        <v>ESTACA ESCAVADA Ø25</v>
      </c>
      <c r="C59" s="11" t="s">
        <v>289</v>
      </c>
      <c r="D59" s="88" t="str">
        <f>Planilha!E62</f>
        <v>M</v>
      </c>
      <c r="E59" s="80">
        <f>25*4*3</f>
        <v>300</v>
      </c>
    </row>
    <row r="60" spans="1:6" ht="28.5" x14ac:dyDescent="0.2">
      <c r="A60" s="8" t="str">
        <f>Planilha!A63</f>
        <v>2.2.3</v>
      </c>
      <c r="B60" s="11" t="str">
        <f>Planilha!B63</f>
        <v>FORMA DE MADEIRA COMPENSADA 12MM</v>
      </c>
      <c r="C60" s="11" t="s">
        <v>229</v>
      </c>
      <c r="D60" s="10" t="str">
        <f>Planilha!E63</f>
        <v>M2</v>
      </c>
      <c r="E60" s="80">
        <f>(48.02*0.25*2)*1.1</f>
        <v>26.411000000000005</v>
      </c>
    </row>
    <row r="61" spans="1:6" ht="28.5" x14ac:dyDescent="0.2">
      <c r="A61" s="8" t="str">
        <f>Planilha!A64</f>
        <v>2.2.4</v>
      </c>
      <c r="B61" s="11" t="str">
        <f>Planilha!B64</f>
        <v>DESMOLDAGEM DE FORMAS EM COMPENSADO</v>
      </c>
      <c r="C61" s="11" t="str">
        <f>C60</f>
        <v>48,02M DE PERIMETRO DE BALDRAME * 0,25M DE ALTURA * 2 BALDRAMES + 10% DE PERDAS</v>
      </c>
      <c r="D61" s="10" t="str">
        <f>Planilha!E64</f>
        <v>M2</v>
      </c>
      <c r="E61" s="80">
        <f>E60</f>
        <v>26.411000000000005</v>
      </c>
    </row>
    <row r="62" spans="1:6" ht="20.25" customHeight="1" x14ac:dyDescent="0.2">
      <c r="A62" s="8" t="str">
        <f>Planilha!A65</f>
        <v>2.2.5</v>
      </c>
      <c r="B62" s="11" t="str">
        <f>Planilha!B65</f>
        <v xml:space="preserve">CARGA, TRANSPORTE E DESCARGA DE CONCRETO </v>
      </c>
      <c r="C62" s="11" t="s">
        <v>81</v>
      </c>
      <c r="D62" s="10" t="str">
        <f>Planilha!E65</f>
        <v>T</v>
      </c>
      <c r="E62" s="80">
        <f>E63*2.4</f>
        <v>96.399600000000007</v>
      </c>
    </row>
    <row r="63" spans="1:6" ht="28.5" x14ac:dyDescent="0.2">
      <c r="A63" s="8" t="str">
        <f>Planilha!A66</f>
        <v>2.2.6</v>
      </c>
      <c r="B63" s="11" t="str">
        <f>Planilha!B66</f>
        <v>CONCRETO USINADO FCK=25 MPA PARA BOMBEAMENTO</v>
      </c>
      <c r="C63" s="11" t="s">
        <v>230</v>
      </c>
      <c r="D63" s="10" t="str">
        <f>Planilha!E66</f>
        <v>M3</v>
      </c>
      <c r="E63" s="80">
        <f>(73.03*0.25*2)*1.1</f>
        <v>40.166500000000006</v>
      </c>
    </row>
    <row r="64" spans="1:6" x14ac:dyDescent="0.2">
      <c r="A64" s="8" t="str">
        <f>Planilha!A67</f>
        <v>2.2.7</v>
      </c>
      <c r="B64" s="11" t="str">
        <f>Planilha!B67</f>
        <v xml:space="preserve">LANÇAMENTO/BOMBEAMENTO DE CONCRETO </v>
      </c>
      <c r="C64" s="11" t="s">
        <v>75</v>
      </c>
      <c r="D64" s="10" t="str">
        <f>Planilha!E67</f>
        <v>M3</v>
      </c>
      <c r="E64" s="80">
        <f>E63</f>
        <v>40.166500000000006</v>
      </c>
    </row>
    <row r="65" spans="1:5" ht="28.5" x14ac:dyDescent="0.2">
      <c r="A65" s="8" t="str">
        <f>Planilha!A68</f>
        <v>2.2.8</v>
      </c>
      <c r="B65" s="11" t="str">
        <f>Planilha!B68</f>
        <v>ARMAÇÃO EM BARRA DE AÇO CA-50</v>
      </c>
      <c r="C65" s="11" t="s">
        <v>78</v>
      </c>
      <c r="D65" s="10" t="str">
        <f>Planilha!E68</f>
        <v>KG</v>
      </c>
      <c r="E65" s="80">
        <f>E63*100</f>
        <v>4016.6500000000005</v>
      </c>
    </row>
    <row r="66" spans="1:5" ht="15" x14ac:dyDescent="0.2">
      <c r="A66" s="73" t="str">
        <f>Planilha!A69</f>
        <v>2.3</v>
      </c>
      <c r="B66" s="77" t="str">
        <f>Planilha!B69</f>
        <v>MESOESTRUTURA</v>
      </c>
      <c r="C66" s="79"/>
      <c r="D66" s="74"/>
      <c r="E66" s="81"/>
    </row>
    <row r="67" spans="1:5" ht="85.5" x14ac:dyDescent="0.2">
      <c r="A67" s="8" t="str">
        <f>Planilha!A70</f>
        <v>2.3.1</v>
      </c>
      <c r="B67" s="11" t="str">
        <f>Planilha!B70</f>
        <v>FORMA DE MADEIRA COMPENSADA 12MM</v>
      </c>
      <c r="C67" s="11" t="s">
        <v>304</v>
      </c>
      <c r="D67" s="10" t="str">
        <f>Planilha!E70</f>
        <v>M2</v>
      </c>
      <c r="E67" s="80">
        <f>(38.24*3.75*2+26.16*0.3*2)+(50*1.8*2*4)*1.1</f>
        <v>1094.4960000000001</v>
      </c>
    </row>
    <row r="68" spans="1:5" ht="76.5" customHeight="1" x14ac:dyDescent="0.2">
      <c r="A68" s="8" t="str">
        <f>Planilha!A71</f>
        <v>2.3.2</v>
      </c>
      <c r="B68" s="11" t="str">
        <f>Planilha!B71</f>
        <v>DESMOLDAGEM DE FORMAS EM COMPENSADO</v>
      </c>
      <c r="C68" s="11" t="str">
        <f>C67</f>
        <v>38,24 DE PERIMETRO DAS CABECEIRAS * 3,75M DE ALTURA * 2 CABECEIRAS + 26,16M DE PERIMETRO DAS LAJES DE TRANSIÇÃO * 0,30M DE ALTURA * 2 LAJES + 50,00M DE COMPRIMENTO DO MURO DE CONTEÇÃO * 1,80M DE ALTURA * 2 LADOS DO MURO * 4 MUROS + 10% DE PERDAS</v>
      </c>
      <c r="D68" s="10" t="str">
        <f>Planilha!E71</f>
        <v>M2</v>
      </c>
      <c r="E68" s="80">
        <f>E67</f>
        <v>1094.4960000000001</v>
      </c>
    </row>
    <row r="69" spans="1:5" ht="28.5" x14ac:dyDescent="0.2">
      <c r="A69" s="8" t="str">
        <f>Planilha!A72</f>
        <v>2.3.3</v>
      </c>
      <c r="B69" s="11" t="str">
        <f>Planilha!B72</f>
        <v xml:space="preserve">CARGA, TRANSPORTE E DESCARGA DE CONCRETO </v>
      </c>
      <c r="C69" s="11" t="s">
        <v>81</v>
      </c>
      <c r="D69" s="10" t="str">
        <f>Planilha!E72</f>
        <v>T</v>
      </c>
      <c r="E69" s="80">
        <f>E70*2.4</f>
        <v>547.97688000000005</v>
      </c>
    </row>
    <row r="70" spans="1:5" ht="71.25" x14ac:dyDescent="0.2">
      <c r="A70" s="8" t="str">
        <f>Planilha!A73</f>
        <v>2.3.4</v>
      </c>
      <c r="B70" s="11" t="str">
        <f>Planilha!B73</f>
        <v>CONCRETO USINADO FCK=25 MPA PARA BOMBEAMENTO</v>
      </c>
      <c r="C70" s="11" t="s">
        <v>305</v>
      </c>
      <c r="D70" s="10" t="str">
        <f>Planilha!E73</f>
        <v>M3</v>
      </c>
      <c r="E70" s="80">
        <f>((10.37*3.75*2)+(36.32*0.3*2)+(50*1.8*0.3*4))*1.1</f>
        <v>228.32370000000003</v>
      </c>
    </row>
    <row r="71" spans="1:5" x14ac:dyDescent="0.2">
      <c r="A71" s="8" t="str">
        <f>Planilha!A74</f>
        <v>2.3.5</v>
      </c>
      <c r="B71" s="11" t="str">
        <f>Planilha!B74</f>
        <v xml:space="preserve">LANÇAMENTO/BOMBEAMENTO DE CONCRETO </v>
      </c>
      <c r="C71" s="11" t="s">
        <v>51</v>
      </c>
      <c r="D71" s="10" t="str">
        <f>Planilha!E74</f>
        <v>M3</v>
      </c>
      <c r="E71" s="80">
        <f>E70</f>
        <v>228.32370000000003</v>
      </c>
    </row>
    <row r="72" spans="1:5" ht="28.5" x14ac:dyDescent="0.2">
      <c r="A72" s="8" t="str">
        <f>Planilha!A75</f>
        <v>2.3.6</v>
      </c>
      <c r="B72" s="11" t="str">
        <f>Planilha!B75</f>
        <v>ARMAÇÃO EM BARRA DE AÇO CA-50</v>
      </c>
      <c r="C72" s="11" t="s">
        <v>79</v>
      </c>
      <c r="D72" s="10" t="str">
        <f>Planilha!E75</f>
        <v>KG</v>
      </c>
      <c r="E72" s="80">
        <f>E70*100</f>
        <v>22832.370000000003</v>
      </c>
    </row>
    <row r="73" spans="1:5" ht="15" x14ac:dyDescent="0.2">
      <c r="A73" s="73" t="str">
        <f>Planilha!A76</f>
        <v>2.4</v>
      </c>
      <c r="B73" s="77" t="str">
        <f>Planilha!B76</f>
        <v>SUPERESTRUTURA</v>
      </c>
      <c r="C73" s="79"/>
      <c r="D73" s="74"/>
      <c r="E73" s="81"/>
    </row>
    <row r="74" spans="1:5" ht="171" x14ac:dyDescent="0.2">
      <c r="A74" s="8" t="str">
        <f>Planilha!A77</f>
        <v>2.4.1</v>
      </c>
      <c r="B74" s="11" t="str">
        <f>Planilha!B77</f>
        <v>VIGA METÁLICA EM PERFIL LAMINADO E/OU SOLDADO EM AÇO ESTRUTURAL, COM CONEXÕES PARAFUSADAS E/OU SOLDADAS - INCLUSIVE LANÇAMENTO COM COM GUINDASTE E PLANO RIGGING</v>
      </c>
      <c r="C74" s="11" t="s">
        <v>303</v>
      </c>
      <c r="D74" s="10" t="str">
        <f>Planilha!E77</f>
        <v>KG</v>
      </c>
      <c r="E74" s="80">
        <v>17199</v>
      </c>
    </row>
    <row r="75" spans="1:5" ht="57" x14ac:dyDescent="0.2">
      <c r="A75" s="8" t="str">
        <f>Planilha!A78</f>
        <v>2.4.2</v>
      </c>
      <c r="B75" s="11" t="str">
        <f>Planilha!B78</f>
        <v>FORNECIMENTO E MONTAGEM DE ESTRUTURA EM AÇO ASTM-A36, SEM PINTURA (TUBOS SCH 20 CALANDRADOS, Ø 273MM, ESPESSURA 6,35MM)</v>
      </c>
      <c r="C75" s="11" t="s">
        <v>276</v>
      </c>
      <c r="D75" s="10" t="str">
        <f>Planilha!E78</f>
        <v>KG</v>
      </c>
      <c r="E75" s="80">
        <f>(30*60+12*4.5*19.16)*2</f>
        <v>5669.2800000000007</v>
      </c>
    </row>
    <row r="76" spans="1:5" ht="28.5" x14ac:dyDescent="0.2">
      <c r="A76" s="8" t="str">
        <f>Planilha!A79</f>
        <v>2.4.3</v>
      </c>
      <c r="B76" s="11" t="str">
        <f>Planilha!B79</f>
        <v>JATEAMENTO DE ESTRUTURA METÁLICA</v>
      </c>
      <c r="C76" s="11" t="str">
        <f>C77</f>
        <v>QUANTIDADE DE AÇO DA ESTRUTURA E DOS TUBOS CALANDRADOS * COEFICIENTE DE 0,035M²/KG</v>
      </c>
      <c r="D76" s="10" t="str">
        <f>Planilha!E79</f>
        <v>M2</v>
      </c>
      <c r="E76" s="80">
        <f t="shared" ref="E76" si="0">E77</f>
        <v>800.38980000000004</v>
      </c>
    </row>
    <row r="77" spans="1:5" ht="28.5" x14ac:dyDescent="0.2">
      <c r="A77" s="8" t="str">
        <f>Planilha!A80</f>
        <v>2.4.4</v>
      </c>
      <c r="B77" s="11" t="str">
        <f>Planilha!B80</f>
        <v>PINTURA EPÓXI BICOMPONENTE EM ESTRUTURAS METÁLICAS</v>
      </c>
      <c r="C77" s="11" t="s">
        <v>310</v>
      </c>
      <c r="D77" s="10" t="str">
        <f>Planilha!E80</f>
        <v>M2</v>
      </c>
      <c r="E77" s="80">
        <f>(E74+E75)*0.035</f>
        <v>800.38980000000004</v>
      </c>
    </row>
    <row r="78" spans="1:5" ht="28.5" x14ac:dyDescent="0.2">
      <c r="A78" s="8" t="str">
        <f>Planilha!A81</f>
        <v>2.4.5</v>
      </c>
      <c r="B78" s="11" t="str">
        <f>Planilha!B81</f>
        <v>MONTAGEM DE PERFIL AÇO ASTM A572/A36 + FIXAÇÕES</v>
      </c>
      <c r="C78" s="11" t="s">
        <v>109</v>
      </c>
      <c r="D78" s="10" t="str">
        <f>Planilha!E81</f>
        <v>KG</v>
      </c>
      <c r="E78" s="80">
        <f>E74</f>
        <v>17199</v>
      </c>
    </row>
    <row r="79" spans="1:5" ht="28.5" x14ac:dyDescent="0.2">
      <c r="A79" s="8" t="str">
        <f>Planilha!A82</f>
        <v>2.4.6</v>
      </c>
      <c r="B79" s="11" t="str">
        <f>Planilha!B82</f>
        <v>APARELHO DE APOIO EM NEOPRENE FRETADO</v>
      </c>
      <c r="C79" s="11" t="s">
        <v>231</v>
      </c>
      <c r="D79" s="10" t="str">
        <f>Planilha!E82</f>
        <v>DM3</v>
      </c>
      <c r="E79" s="80">
        <f>0.31*2.5*3*2*4</f>
        <v>18.600000000000001</v>
      </c>
    </row>
    <row r="80" spans="1:5" ht="28.5" x14ac:dyDescent="0.2">
      <c r="A80" s="8" t="str">
        <f>Planilha!A83</f>
        <v>2.4.7</v>
      </c>
      <c r="B80" s="11" t="str">
        <f>Planilha!B83</f>
        <v>TELHA-FÔRMA EM CHAPA DE AÇO ZINCADO (STEEL DECK), ESP. = 0,80 MM, SEM PINTURA</v>
      </c>
      <c r="C80" s="11" t="s">
        <v>111</v>
      </c>
      <c r="D80" s="10" t="str">
        <f>Planilha!E83</f>
        <v>M2</v>
      </c>
      <c r="E80" s="80">
        <f>18*10</f>
        <v>180</v>
      </c>
    </row>
    <row r="81" spans="1:5" ht="28.5" x14ac:dyDescent="0.2">
      <c r="A81" s="8" t="str">
        <f>Planilha!A84</f>
        <v>2.4.8</v>
      </c>
      <c r="B81" s="11" t="str">
        <f>Planilha!B84</f>
        <v xml:space="preserve">CARGA, TRANSPORTE E DESCARGA DE CONCRETO </v>
      </c>
      <c r="C81" s="11" t="s">
        <v>81</v>
      </c>
      <c r="D81" s="10" t="str">
        <f>Planilha!E84</f>
        <v>T</v>
      </c>
      <c r="E81" s="80">
        <f>E82*2.4</f>
        <v>117.30096</v>
      </c>
    </row>
    <row r="82" spans="1:5" ht="42.75" x14ac:dyDescent="0.2">
      <c r="A82" s="8" t="str">
        <f>Planilha!A85</f>
        <v>2.4.9</v>
      </c>
      <c r="B82" s="11" t="str">
        <f>Planilha!B85</f>
        <v>CONCRETO  AUTO ADENSÁVEL - FCK 30 MPA</v>
      </c>
      <c r="C82" s="11" t="s">
        <v>274</v>
      </c>
      <c r="D82" s="10" t="str">
        <f>Planilha!E85</f>
        <v>M3</v>
      </c>
      <c r="E82" s="80">
        <f>(18*10*0.2+8.79*3*0.2*2)*1.05</f>
        <v>48.875400000000006</v>
      </c>
    </row>
    <row r="83" spans="1:5" x14ac:dyDescent="0.2">
      <c r="A83" s="8" t="str">
        <f>Planilha!A86</f>
        <v>2.4.10</v>
      </c>
      <c r="B83" s="11" t="str">
        <f>Planilha!B86</f>
        <v xml:space="preserve">LANÇAMENTO/APLICAÇÃO DO CONCRETO </v>
      </c>
      <c r="C83" s="11" t="s">
        <v>52</v>
      </c>
      <c r="D83" s="10" t="str">
        <f>Planilha!E86</f>
        <v>M3</v>
      </c>
      <c r="E83" s="80">
        <f>E82</f>
        <v>48.875400000000006</v>
      </c>
    </row>
    <row r="84" spans="1:5" ht="85.5" x14ac:dyDescent="0.2">
      <c r="A84" s="8" t="str">
        <f>Planilha!A87</f>
        <v>2.4.11</v>
      </c>
      <c r="B84" s="11" t="str">
        <f>Planilha!B87</f>
        <v>ARMAÇÃO EM BARRA DE AÇO CA-50</v>
      </c>
      <c r="C84" s="11" t="s">
        <v>232</v>
      </c>
      <c r="D84" s="10" t="str">
        <f>Planilha!E87</f>
        <v>KG</v>
      </c>
      <c r="E84" s="80">
        <f>((18/0.21)*10*0.617)+(((18/0.5)+1)*10*0.735)+(3.11*2*18*10)</f>
        <v>1920.4071428571428</v>
      </c>
    </row>
    <row r="85" spans="1:5" x14ac:dyDescent="0.2">
      <c r="A85" s="8" t="str">
        <f>Planilha!A88</f>
        <v>2.4.12</v>
      </c>
      <c r="B85" s="11" t="str">
        <f>Planilha!B88</f>
        <v>BARREIRA NEW JERSEY</v>
      </c>
      <c r="C85" s="11" t="s">
        <v>277</v>
      </c>
      <c r="D85" s="10" t="str">
        <f>Planilha!E88</f>
        <v>M</v>
      </c>
      <c r="E85" s="80">
        <f>21.59*2</f>
        <v>43.18</v>
      </c>
    </row>
    <row r="86" spans="1:5" ht="28.5" x14ac:dyDescent="0.2">
      <c r="A86" s="8" t="str">
        <f>Planilha!A89</f>
        <v>2.4.13</v>
      </c>
      <c r="B86" s="11" t="str">
        <f>Planilha!B89</f>
        <v>DEMOLIÇÃO DE CONCRETO ARMADO</v>
      </c>
      <c r="C86" s="11" t="s">
        <v>294</v>
      </c>
      <c r="D86" s="10" t="str">
        <f>Planilha!E89</f>
        <v>M3</v>
      </c>
      <c r="E86" s="80">
        <f>22*7*0.5</f>
        <v>77</v>
      </c>
    </row>
    <row r="87" spans="1:5" ht="42.75" x14ac:dyDescent="0.2">
      <c r="A87" s="8" t="str">
        <f>Planilha!A90</f>
        <v>2.4.14</v>
      </c>
      <c r="B87" s="11" t="str">
        <f>Planilha!B90</f>
        <v xml:space="preserve">TRANSPORTE COM CAMINHÃO </v>
      </c>
      <c r="C87" s="11" t="s">
        <v>295</v>
      </c>
      <c r="D87" s="10" t="str">
        <f>Planilha!E90</f>
        <v>M3XKM</v>
      </c>
      <c r="E87" s="80">
        <f>E86*1.3*20</f>
        <v>2002.0000000000002</v>
      </c>
    </row>
    <row r="88" spans="1:5" ht="57" x14ac:dyDescent="0.2">
      <c r="A88" s="8" t="str">
        <f>Planilha!A91</f>
        <v>2.4.15</v>
      </c>
      <c r="B88" s="11" t="str">
        <f>Planilha!B91</f>
        <v>PONTE BRANCA DE MADEIRA – PLATAFORMA DE TRABALHO</v>
      </c>
      <c r="C88" s="11" t="s">
        <v>240</v>
      </c>
      <c r="D88" s="10" t="str">
        <f>Planilha!E91</f>
        <v>M3</v>
      </c>
      <c r="E88" s="80">
        <f>22*14*1</f>
        <v>308</v>
      </c>
    </row>
    <row r="89" spans="1:5" ht="15" x14ac:dyDescent="0.2">
      <c r="A89" s="73" t="str">
        <f>Planilha!A92</f>
        <v>2.5</v>
      </c>
      <c r="B89" s="77" t="str">
        <f>Planilha!B92</f>
        <v>SERVIÇOS COMPLEMENTARES</v>
      </c>
      <c r="C89" s="79"/>
      <c r="D89" s="74"/>
      <c r="E89" s="81"/>
    </row>
    <row r="90" spans="1:5" x14ac:dyDescent="0.2">
      <c r="A90" s="8" t="str">
        <f>Planilha!A93</f>
        <v>2.5.1</v>
      </c>
      <c r="B90" s="11" t="str">
        <f>Planilha!B93</f>
        <v>LIMPEZA GERAL DA OBRA</v>
      </c>
      <c r="C90" s="11" t="s">
        <v>227</v>
      </c>
      <c r="D90" s="10" t="str">
        <f>Planilha!E93</f>
        <v>M2</v>
      </c>
      <c r="E90" s="80">
        <f>10*10*2</f>
        <v>200</v>
      </c>
    </row>
    <row r="91" spans="1:5" ht="15" x14ac:dyDescent="0.2">
      <c r="A91" s="121" t="str">
        <f>Planilha!A95</f>
        <v>PONTE MISTA 12,09x7,28m - BAIRRO SANTA CRUZ</v>
      </c>
      <c r="B91" s="122"/>
      <c r="C91" s="122"/>
      <c r="D91" s="122"/>
      <c r="E91" s="123"/>
    </row>
    <row r="92" spans="1:5" ht="15" x14ac:dyDescent="0.2">
      <c r="A92" s="73" t="str">
        <f>Planilha!A96</f>
        <v>3.1</v>
      </c>
      <c r="B92" s="77" t="str">
        <f>Planilha!B96</f>
        <v>TERRAPLENAGEM</v>
      </c>
      <c r="C92" s="79"/>
      <c r="D92" s="74"/>
      <c r="E92" s="76"/>
    </row>
    <row r="93" spans="1:5" ht="71.25" x14ac:dyDescent="0.2">
      <c r="A93" s="8" t="str">
        <f>Planilha!A97</f>
        <v>3.1.1</v>
      </c>
      <c r="B93" s="11" t="str">
        <f>Planilha!B97</f>
        <v>DEMOLIÇÃO DE CONCRETO ARMADO</v>
      </c>
      <c r="C93" s="11" t="s">
        <v>299</v>
      </c>
      <c r="D93" s="10" t="str">
        <f>Planilha!E97</f>
        <v>M3</v>
      </c>
      <c r="E93" s="80">
        <f>11*3*0.5+3*4*0.5*2+2*11*0.5*0.5</f>
        <v>34</v>
      </c>
    </row>
    <row r="94" spans="1:5" ht="28.5" x14ac:dyDescent="0.2">
      <c r="A94" s="8" t="str">
        <f>Planilha!A98</f>
        <v>3.1.2</v>
      </c>
      <c r="B94" s="11" t="str">
        <f>Planilha!B98</f>
        <v>TRANSPORTE COM CAMINHÃO - DEMOLIÇÃO</v>
      </c>
      <c r="C94" s="11" t="s">
        <v>293</v>
      </c>
      <c r="D94" s="10" t="str">
        <f>Planilha!E98</f>
        <v>M3XKM</v>
      </c>
      <c r="E94" s="80">
        <f>E93*1.3*20</f>
        <v>884</v>
      </c>
    </row>
    <row r="95" spans="1:5" ht="28.5" x14ac:dyDescent="0.2">
      <c r="A95" s="8" t="str">
        <f>Planilha!A99</f>
        <v>3.1.3</v>
      </c>
      <c r="B95" s="11" t="str">
        <f>Planilha!B99</f>
        <v>EQUIPE DE SERVIÇO DE TOPOGRAFIA</v>
      </c>
      <c r="C95" s="11" t="s">
        <v>225</v>
      </c>
      <c r="D95" s="10" t="str">
        <f>Planilha!E99</f>
        <v>MÊS</v>
      </c>
      <c r="E95" s="80">
        <v>0.5</v>
      </c>
    </row>
    <row r="96" spans="1:5" ht="42.75" x14ac:dyDescent="0.2">
      <c r="A96" s="8" t="str">
        <f>Planilha!A100</f>
        <v>3.1.4</v>
      </c>
      <c r="B96" s="11" t="str">
        <f>Planilha!B100</f>
        <v>ESCAVAÇÃO E CARGA EM MATERIAL DE 2ª CATEGORIA</v>
      </c>
      <c r="C96" s="11" t="s">
        <v>228</v>
      </c>
      <c r="D96" s="10" t="str">
        <f>Planilha!E100</f>
        <v>M3</v>
      </c>
      <c r="E96" s="80">
        <f>1*125.05*4*2</f>
        <v>1000.4</v>
      </c>
    </row>
    <row r="97" spans="1:5" ht="28.5" x14ac:dyDescent="0.2">
      <c r="A97" s="8" t="str">
        <f>Planilha!A101</f>
        <v>3.1.5</v>
      </c>
      <c r="B97" s="11" t="str">
        <f>Planilha!B101</f>
        <v>TRANSPORTE DE MATERIAL ESCAVADO</v>
      </c>
      <c r="C97" s="11" t="s">
        <v>296</v>
      </c>
      <c r="D97" s="10" t="str">
        <f>Planilha!E101</f>
        <v>M3XKM</v>
      </c>
      <c r="E97" s="80">
        <f>E96*1.3*1.6*10</f>
        <v>20808.32</v>
      </c>
    </row>
    <row r="98" spans="1:5" ht="28.5" x14ac:dyDescent="0.2">
      <c r="A98" s="8" t="str">
        <f>Planilha!A102</f>
        <v>3.1.6</v>
      </c>
      <c r="B98" s="11" t="str">
        <f>Planilha!B102</f>
        <v>LOCAÇÃO CONVENCIONAL DE OBRA</v>
      </c>
      <c r="C98" s="11" t="s">
        <v>77</v>
      </c>
      <c r="D98" s="10" t="str">
        <f>Planilha!E102</f>
        <v>M</v>
      </c>
      <c r="E98" s="80">
        <v>386.06</v>
      </c>
    </row>
    <row r="99" spans="1:5" ht="15" x14ac:dyDescent="0.2">
      <c r="A99" s="73" t="str">
        <f>Planilha!A103</f>
        <v>3.2</v>
      </c>
      <c r="B99" s="77" t="str">
        <f>Planilha!B103</f>
        <v>INFRAESTRUTURA</v>
      </c>
      <c r="C99" s="79"/>
      <c r="D99" s="74"/>
      <c r="E99" s="81"/>
    </row>
    <row r="100" spans="1:5" ht="28.5" x14ac:dyDescent="0.2">
      <c r="A100" s="8" t="str">
        <f>Planilha!A104</f>
        <v>3.2.1</v>
      </c>
      <c r="B100" s="11" t="str">
        <f>Planilha!B104</f>
        <v>MICROESTACA INJETADA DIAM. 250MM PRESSÃO 8MPA</v>
      </c>
      <c r="C100" s="11" t="s">
        <v>249</v>
      </c>
      <c r="D100" s="10" t="str">
        <f>Planilha!E104</f>
        <v>M</v>
      </c>
      <c r="E100" s="80">
        <f>40*2*2</f>
        <v>160</v>
      </c>
    </row>
    <row r="101" spans="1:5" ht="28.5" x14ac:dyDescent="0.2">
      <c r="A101" s="8" t="str">
        <f>Planilha!A105</f>
        <v>3.2.2</v>
      </c>
      <c r="B101" s="11" t="str">
        <f>Planilha!B105</f>
        <v>FORMA DE MADEIRA COMPENSADA 12MM</v>
      </c>
      <c r="C101" s="11" t="s">
        <v>229</v>
      </c>
      <c r="D101" s="10" t="str">
        <f>Planilha!E105</f>
        <v>M2</v>
      </c>
      <c r="E101" s="80">
        <f>48.02*0.25*2*1.1</f>
        <v>26.411000000000005</v>
      </c>
    </row>
    <row r="102" spans="1:5" ht="28.5" x14ac:dyDescent="0.2">
      <c r="A102" s="8" t="str">
        <f>Planilha!A106</f>
        <v>3.2.3</v>
      </c>
      <c r="B102" s="11" t="str">
        <f>Planilha!B106</f>
        <v>DESMOLDAGEM DE FORMAS EM COMPENSADO</v>
      </c>
      <c r="C102" s="11" t="s">
        <v>229</v>
      </c>
      <c r="D102" s="10" t="str">
        <f>Planilha!E106</f>
        <v>M2</v>
      </c>
      <c r="E102" s="80">
        <v>26.411000000000005</v>
      </c>
    </row>
    <row r="103" spans="1:5" ht="14.25" customHeight="1" x14ac:dyDescent="0.2">
      <c r="A103" s="8" t="str">
        <f>Planilha!A107</f>
        <v>3.2.4</v>
      </c>
      <c r="B103" s="11" t="str">
        <f>Planilha!B107</f>
        <v xml:space="preserve">CARGA, TRANSPORTE E DESCARGA DE CONCRETO </v>
      </c>
      <c r="C103" s="11" t="s">
        <v>81</v>
      </c>
      <c r="D103" s="10" t="str">
        <f>Planilha!E107</f>
        <v>T</v>
      </c>
      <c r="E103" s="80">
        <f>E104*2.4</f>
        <v>96.399600000000007</v>
      </c>
    </row>
    <row r="104" spans="1:5" ht="28.5" x14ac:dyDescent="0.2">
      <c r="A104" s="8" t="str">
        <f>Planilha!A108</f>
        <v>3.2.5</v>
      </c>
      <c r="B104" s="11" t="str">
        <f>Planilha!B108</f>
        <v>CONCRETO USINADO FCK=25 MPA PARA BOMBEAMENTO</v>
      </c>
      <c r="C104" s="11" t="s">
        <v>230</v>
      </c>
      <c r="D104" s="10" t="str">
        <f>Planilha!E108</f>
        <v>M3</v>
      </c>
      <c r="E104" s="80">
        <f>73.03*0.25*2*1.1</f>
        <v>40.166500000000006</v>
      </c>
    </row>
    <row r="105" spans="1:5" x14ac:dyDescent="0.2">
      <c r="A105" s="8" t="str">
        <f>Planilha!A109</f>
        <v>3.2.6</v>
      </c>
      <c r="B105" s="11" t="str">
        <f>Planilha!B109</f>
        <v xml:space="preserve">LANÇAMENTO/BOMBEAMENTO DE CONCRETO </v>
      </c>
      <c r="C105" s="11" t="s">
        <v>236</v>
      </c>
      <c r="D105" s="10" t="str">
        <f>Planilha!E109</f>
        <v>M3</v>
      </c>
      <c r="E105" s="80">
        <f>E104</f>
        <v>40.166500000000006</v>
      </c>
    </row>
    <row r="106" spans="1:5" ht="28.5" x14ac:dyDescent="0.2">
      <c r="A106" s="8" t="str">
        <f>Planilha!A110</f>
        <v>3.2.7</v>
      </c>
      <c r="B106" s="11" t="str">
        <f>Planilha!B110</f>
        <v>ARMAÇÃO EM BARRA DE AÇO CA-50</v>
      </c>
      <c r="C106" s="11" t="s">
        <v>78</v>
      </c>
      <c r="D106" s="10" t="str">
        <f>Planilha!E110</f>
        <v>KG</v>
      </c>
      <c r="E106" s="80">
        <f>E104*100</f>
        <v>4016.6500000000005</v>
      </c>
    </row>
    <row r="107" spans="1:5" ht="15" x14ac:dyDescent="0.2">
      <c r="A107" s="73" t="str">
        <f>Planilha!A111</f>
        <v>3.3</v>
      </c>
      <c r="B107" s="77" t="str">
        <f>Planilha!B111</f>
        <v>MESOESTRUTURA</v>
      </c>
      <c r="C107" s="79"/>
      <c r="D107" s="74"/>
      <c r="E107" s="81"/>
    </row>
    <row r="108" spans="1:5" ht="57" x14ac:dyDescent="0.2">
      <c r="A108" s="8" t="str">
        <f>Planilha!A112</f>
        <v>3.3.1</v>
      </c>
      <c r="B108" s="11" t="str">
        <f>Planilha!B112</f>
        <v>FORMA DE MADEIRA COMPENSADA 12MM</v>
      </c>
      <c r="C108" s="11" t="s">
        <v>278</v>
      </c>
      <c r="D108" s="10" t="str">
        <f>Planilha!E112</f>
        <v>M2</v>
      </c>
      <c r="E108" s="80">
        <f>(38.24*3.75*2+22.56*0.3*2)*1.1</f>
        <v>330.36960000000005</v>
      </c>
    </row>
    <row r="109" spans="1:5" ht="57" x14ac:dyDescent="0.2">
      <c r="A109" s="8" t="str">
        <f>Planilha!A113</f>
        <v>3.3.2</v>
      </c>
      <c r="B109" s="11" t="str">
        <f>Planilha!B113</f>
        <v>DESMOLDAGEM DE FORMAS EM COMPENSADO</v>
      </c>
      <c r="C109" s="11" t="str">
        <f>C108</f>
        <v>38,24 DE PERIMETRO DAS CABECEIRAS * 3,75M DE ALTURA * 2 CABECEIRAS + 22,56M DE PERIMETRO DA LAJE * 0,30M DE ESPESSURA * 2 LAJES + 10% DE PERDAS</v>
      </c>
      <c r="D109" s="10" t="str">
        <f>Planilha!E113</f>
        <v>M2</v>
      </c>
      <c r="E109" s="80">
        <f>E108</f>
        <v>330.36960000000005</v>
      </c>
    </row>
    <row r="110" spans="1:5" ht="15.75" customHeight="1" x14ac:dyDescent="0.2">
      <c r="A110" s="8" t="str">
        <f>Planilha!A114</f>
        <v>3.3.3</v>
      </c>
      <c r="B110" s="11" t="str">
        <f>Planilha!B114</f>
        <v xml:space="preserve">CARGA, TRANSPORTE E DESCARGA DE CONCRETO </v>
      </c>
      <c r="C110" s="11" t="s">
        <v>81</v>
      </c>
      <c r="D110" s="10" t="str">
        <f>Planilha!E114</f>
        <v>T</v>
      </c>
      <c r="E110" s="80">
        <f>E111*2.4</f>
        <v>251.45207999999997</v>
      </c>
    </row>
    <row r="111" spans="1:5" ht="42.75" x14ac:dyDescent="0.2">
      <c r="A111" s="8" t="str">
        <f>Planilha!A115</f>
        <v>3.3.4</v>
      </c>
      <c r="B111" s="11" t="str">
        <f>Planilha!B115</f>
        <v>CONCRETO USINADO FCK=25 MPA PARA BOMBEAMENTO</v>
      </c>
      <c r="C111" s="11" t="s">
        <v>279</v>
      </c>
      <c r="D111" s="10" t="str">
        <f>Planilha!E115</f>
        <v>M3</v>
      </c>
      <c r="E111" s="80">
        <f>(10.37*3.75*2+29.12*0.3*2)*1.1</f>
        <v>104.7717</v>
      </c>
    </row>
    <row r="112" spans="1:5" x14ac:dyDescent="0.2">
      <c r="A112" s="8" t="str">
        <f>Planilha!A116</f>
        <v>3.3.5</v>
      </c>
      <c r="B112" s="11" t="str">
        <f>Planilha!B116</f>
        <v xml:space="preserve">LANÇAMENTO/BOMBEAMENTO DE CONCRETO </v>
      </c>
      <c r="C112" s="11" t="s">
        <v>298</v>
      </c>
      <c r="D112" s="10" t="str">
        <f>Planilha!E116</f>
        <v>M3</v>
      </c>
      <c r="E112" s="80">
        <f>E111</f>
        <v>104.7717</v>
      </c>
    </row>
    <row r="113" spans="1:6" ht="28.5" x14ac:dyDescent="0.2">
      <c r="A113" s="8" t="str">
        <f>Planilha!A117</f>
        <v>3.3.6</v>
      </c>
      <c r="B113" s="11" t="str">
        <f>Planilha!B117</f>
        <v>ARMAÇÃO EM BARRA DE AÇO CA-50</v>
      </c>
      <c r="C113" s="11" t="s">
        <v>79</v>
      </c>
      <c r="D113" s="10" t="str">
        <f>Planilha!E117</f>
        <v>KG</v>
      </c>
      <c r="E113" s="80">
        <f>E111*100</f>
        <v>10477.17</v>
      </c>
    </row>
    <row r="114" spans="1:6" ht="15" x14ac:dyDescent="0.2">
      <c r="A114" s="73" t="str">
        <f>Planilha!A118</f>
        <v>3.4</v>
      </c>
      <c r="B114" s="77" t="str">
        <f>Planilha!B118</f>
        <v>SUPERESTRUTURA</v>
      </c>
      <c r="C114" s="79"/>
      <c r="D114" s="74"/>
      <c r="E114" s="81"/>
    </row>
    <row r="115" spans="1:6" ht="185.25" x14ac:dyDescent="0.2">
      <c r="A115" s="8" t="str">
        <f>Planilha!A119</f>
        <v>3.4.1</v>
      </c>
      <c r="B115" s="11" t="str">
        <f>Planilha!B119</f>
        <v>VIGA METÁLICA EM PERFIL LAMINADO E/OU SOLDADO EM AÇO ESTRUTURAL, COM CONEXÕES PARAFUSADAS E/OU SOLDADAS - INCLUSIVE LANÇAMENTO COM COM GUINDASTE E PLANO RIGGING</v>
      </c>
      <c r="C115" s="11" t="s">
        <v>261</v>
      </c>
      <c r="D115" s="10" t="str">
        <f>Planilha!E119</f>
        <v>KG</v>
      </c>
      <c r="E115" s="80">
        <f>(5460+245+290+60+95+950+250+350+250+425)*1.05</f>
        <v>8793.75</v>
      </c>
    </row>
    <row r="116" spans="1:6" ht="28.5" x14ac:dyDescent="0.2">
      <c r="A116" s="8" t="str">
        <f>Planilha!A120</f>
        <v>3.4.2</v>
      </c>
      <c r="B116" s="11" t="str">
        <f>Planilha!B120</f>
        <v>JATEAMENTO DE ESTRUTURA METÁLICA</v>
      </c>
      <c r="C116" s="11" t="str">
        <f>C117</f>
        <v>QUANTIDADE DE AÇO DA ESTRUTURA * COEFICIENTE DE 0,035M²/KG</v>
      </c>
      <c r="D116" s="10" t="str">
        <f>Planilha!E120</f>
        <v>M2</v>
      </c>
      <c r="E116" s="80">
        <f t="shared" ref="E116" si="1">E117</f>
        <v>307.78125000000006</v>
      </c>
    </row>
    <row r="117" spans="1:6" ht="31.5" customHeight="1" x14ac:dyDescent="0.2">
      <c r="A117" s="8" t="str">
        <f>Planilha!A121</f>
        <v>3.4.3</v>
      </c>
      <c r="B117" s="11" t="str">
        <f>Planilha!B121</f>
        <v>PINTURA EPÓXI BICOMPONENTE EM ESTRUTURAS METÁLICAS</v>
      </c>
      <c r="C117" s="11" t="s">
        <v>80</v>
      </c>
      <c r="D117" s="10" t="str">
        <f>Planilha!E121</f>
        <v>M2</v>
      </c>
      <c r="E117" s="80">
        <f>E115*0.035</f>
        <v>307.78125000000006</v>
      </c>
    </row>
    <row r="118" spans="1:6" ht="28.5" x14ac:dyDescent="0.2">
      <c r="A118" s="8" t="str">
        <f>Planilha!A122</f>
        <v>3.4.4</v>
      </c>
      <c r="B118" s="11" t="str">
        <f>Planilha!B122</f>
        <v>MONTAGEM DE PERFIL AÇO ASTM A572/A36 + FIXAÇÕES</v>
      </c>
      <c r="C118" s="11" t="s">
        <v>300</v>
      </c>
      <c r="D118" s="10" t="str">
        <f>Planilha!E122</f>
        <v>KG</v>
      </c>
      <c r="E118" s="80">
        <f>E115</f>
        <v>8793.75</v>
      </c>
    </row>
    <row r="119" spans="1:6" ht="28.5" x14ac:dyDescent="0.2">
      <c r="A119" s="8" t="str">
        <f>Planilha!A123</f>
        <v>3.4.5</v>
      </c>
      <c r="B119" s="11" t="str">
        <f>Planilha!B123</f>
        <v>APARELHO DE APOIO EM NEOPRENE FRETADO</v>
      </c>
      <c r="C119" s="11" t="s">
        <v>231</v>
      </c>
      <c r="D119" s="10" t="str">
        <f>Planilha!E123</f>
        <v>DM3</v>
      </c>
      <c r="E119" s="80">
        <f>0.31*2.5*3*2*4</f>
        <v>18.600000000000001</v>
      </c>
    </row>
    <row r="120" spans="1:6" ht="28.5" x14ac:dyDescent="0.2">
      <c r="A120" s="8" t="str">
        <f>Planilha!A124</f>
        <v>3.4.6</v>
      </c>
      <c r="B120" s="11" t="str">
        <f>Planilha!B124</f>
        <v>TELHA-FÔRMA EM CHAPA DE AÇO ZINCADO (STEEL DECK), E = 0,80 MM, SEM PINTURA</v>
      </c>
      <c r="C120" s="11" t="s">
        <v>111</v>
      </c>
      <c r="D120" s="10" t="str">
        <f>Planilha!E124</f>
        <v>M2</v>
      </c>
      <c r="E120" s="80">
        <f>12.09*7.28</f>
        <v>88.015200000000007</v>
      </c>
    </row>
    <row r="121" spans="1:6" ht="16.5" customHeight="1" x14ac:dyDescent="0.2">
      <c r="A121" s="8" t="str">
        <f>Planilha!A125</f>
        <v>3.4.7</v>
      </c>
      <c r="B121" s="11" t="str">
        <f>Planilha!B125</f>
        <v xml:space="preserve">CARGA, TRANSPORTE E DESCARGA DE CONCRETO </v>
      </c>
      <c r="C121" s="11" t="s">
        <v>81</v>
      </c>
      <c r="D121" s="10" t="str">
        <f>Planilha!E125</f>
        <v>T</v>
      </c>
      <c r="E121" s="80">
        <f>E122*2.4</f>
        <v>44.359660800000015</v>
      </c>
    </row>
    <row r="122" spans="1:6" ht="28.5" x14ac:dyDescent="0.2">
      <c r="A122" s="8" t="str">
        <f>Planilha!A126</f>
        <v>3.4.8</v>
      </c>
      <c r="B122" s="11" t="str">
        <f>Planilha!B126</f>
        <v>CONCRETO  AUTO ADENSÁVEL - FCK 30 MPA</v>
      </c>
      <c r="C122" s="11" t="s">
        <v>76</v>
      </c>
      <c r="D122" s="10" t="str">
        <f>Planilha!E126</f>
        <v>M3</v>
      </c>
      <c r="E122" s="80">
        <f>12.09*7.28*0.2*1.05</f>
        <v>18.483192000000006</v>
      </c>
    </row>
    <row r="123" spans="1:6" x14ac:dyDescent="0.2">
      <c r="A123" s="8" t="str">
        <f>Planilha!A127</f>
        <v>3.4.9</v>
      </c>
      <c r="B123" s="11" t="str">
        <f>Planilha!B127</f>
        <v xml:space="preserve">LANÇAMENTO/APLICAÇÃO DO CONCRETO </v>
      </c>
      <c r="C123" s="11" t="s">
        <v>301</v>
      </c>
      <c r="D123" s="10" t="str">
        <f>Planilha!E127</f>
        <v>M3</v>
      </c>
      <c r="E123" s="80">
        <f>E122</f>
        <v>18.483192000000006</v>
      </c>
    </row>
    <row r="124" spans="1:6" ht="102" customHeight="1" x14ac:dyDescent="0.2">
      <c r="A124" s="8" t="str">
        <f>Planilha!A128</f>
        <v>3.4.10</v>
      </c>
      <c r="B124" s="11" t="str">
        <f>Planilha!B128</f>
        <v>ARMAÇÃO EM BARRA DE AÇO CA-50</v>
      </c>
      <c r="C124" s="11" t="s">
        <v>302</v>
      </c>
      <c r="D124" s="10" t="str">
        <f>Planilha!E128</f>
        <v>KG</v>
      </c>
      <c r="E124" s="80">
        <f>((15/0.21)*7.28*0.617)+(((15/0.5)+1)*7.28*0.735)+(3.11*2*88.02)</f>
        <v>1034.1992</v>
      </c>
    </row>
    <row r="125" spans="1:6" ht="14.25" customHeight="1" x14ac:dyDescent="0.2">
      <c r="A125" s="8" t="str">
        <f>Planilha!A129</f>
        <v>3.4.11</v>
      </c>
      <c r="B125" s="11" t="str">
        <f>Planilha!B129</f>
        <v>BARREIRA NEW JERSEY</v>
      </c>
      <c r="C125" s="11" t="s">
        <v>280</v>
      </c>
      <c r="D125" s="10" t="str">
        <f>Planilha!E129</f>
        <v>M</v>
      </c>
      <c r="E125" s="80">
        <f>12.09*2</f>
        <v>24.18</v>
      </c>
    </row>
    <row r="126" spans="1:6" ht="15" x14ac:dyDescent="0.2">
      <c r="A126" s="73" t="str">
        <f>Planilha!A130</f>
        <v>3.5</v>
      </c>
      <c r="B126" s="77" t="str">
        <f>Planilha!B130</f>
        <v>SERVIÇOS COMPLEMENTARES</v>
      </c>
      <c r="C126" s="79"/>
      <c r="D126" s="74"/>
      <c r="E126" s="81"/>
    </row>
    <row r="127" spans="1:6" x14ac:dyDescent="0.2">
      <c r="A127" s="8" t="str">
        <f>Planilha!A131</f>
        <v>3.5.1</v>
      </c>
      <c r="B127" s="11" t="str">
        <f>Planilha!B131</f>
        <v>LIMPEZA GERAL DA OBRA</v>
      </c>
      <c r="C127" s="11" t="s">
        <v>237</v>
      </c>
      <c r="D127" s="10" t="str">
        <f>Planilha!E131</f>
        <v>M2</v>
      </c>
      <c r="E127" s="80">
        <f>10*15*2</f>
        <v>300</v>
      </c>
      <c r="F127" s="82"/>
    </row>
  </sheetData>
  <mergeCells count="11">
    <mergeCell ref="A14:E14"/>
    <mergeCell ref="A91:E91"/>
    <mergeCell ref="A51:E51"/>
    <mergeCell ref="A1:E1"/>
    <mergeCell ref="A2:E2"/>
    <mergeCell ref="E4:E5"/>
    <mergeCell ref="A3:E3"/>
    <mergeCell ref="A4:A5"/>
    <mergeCell ref="B4:B5"/>
    <mergeCell ref="C4:C5"/>
    <mergeCell ref="D4:D5"/>
  </mergeCells>
  <phoneticPr fontId="10" type="noConversion"/>
  <pageMargins left="0.19685039370078741" right="0" top="0.39370078740157483" bottom="0.39370078740157483" header="0.31496062992125984" footer="0.31496062992125984"/>
  <pageSetup paperSize="9" scale="52" orientation="portrait" r:id="rId1"/>
  <rowBreaks count="2" manualBreakCount="2">
    <brk id="48" max="5" man="1"/>
    <brk id="9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70" zoomScaleNormal="100" zoomScaleSheetLayoutView="70" workbookViewId="0">
      <selection activeCell="E10" sqref="E10"/>
    </sheetView>
  </sheetViews>
  <sheetFormatPr defaultRowHeight="12.75" x14ac:dyDescent="0.2"/>
  <cols>
    <col min="1" max="1" width="5.42578125" style="61" bestFit="1" customWidth="1"/>
    <col min="2" max="2" width="30" style="61" bestFit="1" customWidth="1"/>
    <col min="3" max="3" width="20.140625" style="61" bestFit="1" customWidth="1"/>
    <col min="4" max="4" width="7.28515625" style="61" bestFit="1" customWidth="1"/>
    <col min="5" max="12" width="19.7109375" style="61" bestFit="1" customWidth="1"/>
    <col min="13" max="16384" width="9.140625" style="61"/>
  </cols>
  <sheetData>
    <row r="1" spans="1:12" ht="24" customHeight="1" x14ac:dyDescent="0.2">
      <c r="A1" s="138" t="s">
        <v>118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37.5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5" customHeight="1" x14ac:dyDescent="0.2">
      <c r="A3" s="143" t="s">
        <v>66</v>
      </c>
      <c r="B3" s="144"/>
      <c r="C3" s="144"/>
      <c r="D3" s="144"/>
      <c r="E3" s="144"/>
      <c r="F3" s="144"/>
      <c r="G3" s="144"/>
      <c r="H3" s="144"/>
      <c r="I3" s="144"/>
      <c r="J3" s="144"/>
      <c r="K3" s="62"/>
      <c r="L3" s="63"/>
    </row>
    <row r="4" spans="1:12" ht="16.149999999999999" customHeight="1" x14ac:dyDescent="0.2">
      <c r="A4" s="140" t="s">
        <v>119</v>
      </c>
      <c r="B4" s="141"/>
      <c r="C4" s="141"/>
      <c r="D4" s="141"/>
      <c r="E4" s="141"/>
      <c r="F4" s="141"/>
      <c r="G4" s="141"/>
      <c r="H4" s="141"/>
      <c r="I4" s="141"/>
      <c r="J4" s="142"/>
      <c r="K4" s="66" t="s">
        <v>20</v>
      </c>
      <c r="L4" s="67">
        <f>Planilha!I133</f>
        <v>5641585.6410052273</v>
      </c>
    </row>
    <row r="5" spans="1:12" x14ac:dyDescent="0.2">
      <c r="A5" s="145" t="s">
        <v>0</v>
      </c>
      <c r="B5" s="145" t="s">
        <v>12</v>
      </c>
      <c r="C5" s="146" t="s">
        <v>13</v>
      </c>
      <c r="D5" s="147" t="s">
        <v>3</v>
      </c>
      <c r="E5" s="145" t="s">
        <v>14</v>
      </c>
      <c r="F5" s="145"/>
      <c r="G5" s="145"/>
      <c r="H5" s="145"/>
      <c r="I5" s="145"/>
      <c r="J5" s="59"/>
      <c r="K5" s="59"/>
      <c r="L5" s="59"/>
    </row>
    <row r="6" spans="1:12" x14ac:dyDescent="0.2">
      <c r="A6" s="145"/>
      <c r="B6" s="145"/>
      <c r="C6" s="146"/>
      <c r="D6" s="147"/>
      <c r="E6" s="60" t="s">
        <v>15</v>
      </c>
      <c r="F6" s="60" t="s">
        <v>16</v>
      </c>
      <c r="G6" s="60" t="s">
        <v>21</v>
      </c>
      <c r="H6" s="60" t="s">
        <v>32</v>
      </c>
      <c r="I6" s="60" t="s">
        <v>54</v>
      </c>
      <c r="J6" s="60" t="s">
        <v>112</v>
      </c>
      <c r="K6" s="60" t="s">
        <v>121</v>
      </c>
      <c r="L6" s="60" t="s">
        <v>122</v>
      </c>
    </row>
    <row r="7" spans="1:12" ht="17.25" customHeight="1" x14ac:dyDescent="0.2">
      <c r="A7" s="136" t="s">
        <v>195</v>
      </c>
      <c r="B7" s="137" t="str">
        <f>Planilha!B8</f>
        <v>SERVIÇOS PRELIMINARES</v>
      </c>
      <c r="C7" s="148">
        <f>Planilha!$I$8</f>
        <v>475967.15276400006</v>
      </c>
      <c r="D7" s="149">
        <f>C7/L4</f>
        <v>8.4367619859297471E-2</v>
      </c>
      <c r="E7" s="64">
        <f>C7*E8</f>
        <v>59495.894095500007</v>
      </c>
      <c r="F7" s="64">
        <f>C7*F8</f>
        <v>59495.894095500007</v>
      </c>
      <c r="G7" s="64">
        <f>C7*G8</f>
        <v>59495.894095500007</v>
      </c>
      <c r="H7" s="64">
        <f>C7*H8</f>
        <v>59495.894095500007</v>
      </c>
      <c r="I7" s="64">
        <f>C7*I8</f>
        <v>59495.894095500007</v>
      </c>
      <c r="J7" s="64">
        <f>C7*J8</f>
        <v>59495.894095500007</v>
      </c>
      <c r="K7" s="64">
        <f>C7*K8</f>
        <v>59495.894095500007</v>
      </c>
      <c r="L7" s="64">
        <f>C7*L8</f>
        <v>59495.894095500007</v>
      </c>
    </row>
    <row r="8" spans="1:12" x14ac:dyDescent="0.2">
      <c r="A8" s="136"/>
      <c r="B8" s="137"/>
      <c r="C8" s="154"/>
      <c r="D8" s="149"/>
      <c r="E8" s="65">
        <v>0.125</v>
      </c>
      <c r="F8" s="65">
        <v>0.125</v>
      </c>
      <c r="G8" s="65">
        <v>0.125</v>
      </c>
      <c r="H8" s="65">
        <v>0.125</v>
      </c>
      <c r="I8" s="65">
        <v>0.125</v>
      </c>
      <c r="J8" s="65">
        <v>0.125</v>
      </c>
      <c r="K8" s="65">
        <v>0.125</v>
      </c>
      <c r="L8" s="65">
        <v>0.125</v>
      </c>
    </row>
    <row r="9" spans="1:12" x14ac:dyDescent="0.2">
      <c r="A9" s="151" t="str">
        <f>Planilha!$A$16</f>
        <v>ALARGAMENTO DE PONTE MISTA 15,07x4,50m (TOTAL 15,07x7,77m)- BAIRRO CENTRAL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3"/>
    </row>
    <row r="10" spans="1:12" x14ac:dyDescent="0.2">
      <c r="A10" s="136" t="s">
        <v>2</v>
      </c>
      <c r="B10" s="137" t="str">
        <f>Planilha!B17</f>
        <v>TERRAPLENAGEM</v>
      </c>
      <c r="C10" s="148">
        <f>Planilha!$I$17</f>
        <v>14060.114599999999</v>
      </c>
      <c r="D10" s="149">
        <f>C10/L4</f>
        <v>2.4922274507020942E-3</v>
      </c>
      <c r="E10" s="64">
        <f>C10*E11</f>
        <v>0</v>
      </c>
      <c r="F10" s="64">
        <f>C10*F11</f>
        <v>0</v>
      </c>
      <c r="G10" s="64">
        <f>C10*G11</f>
        <v>0</v>
      </c>
      <c r="H10" s="64">
        <f>C10*H11</f>
        <v>0</v>
      </c>
      <c r="I10" s="64">
        <f>C10*I11</f>
        <v>0</v>
      </c>
      <c r="J10" s="64">
        <f>C10*J11</f>
        <v>0</v>
      </c>
      <c r="K10" s="64">
        <f>C10*K11</f>
        <v>0</v>
      </c>
      <c r="L10" s="64">
        <f>C10*L11</f>
        <v>0</v>
      </c>
    </row>
    <row r="11" spans="1:12" x14ac:dyDescent="0.2">
      <c r="A11" s="136"/>
      <c r="B11" s="137"/>
      <c r="C11" s="148"/>
      <c r="D11" s="149"/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</row>
    <row r="12" spans="1:12" x14ac:dyDescent="0.2">
      <c r="A12" s="136" t="s">
        <v>4</v>
      </c>
      <c r="B12" s="137" t="str">
        <f>Planilha!B22</f>
        <v>INFRAESTRUTURA</v>
      </c>
      <c r="C12" s="148">
        <f>Planilha!$I$22</f>
        <v>66972.627099999998</v>
      </c>
      <c r="D12" s="149">
        <f>C12/L4</f>
        <v>1.1871241768132887E-2</v>
      </c>
      <c r="E12" s="64">
        <f>C12*E13</f>
        <v>0</v>
      </c>
      <c r="F12" s="64">
        <f>C12*F13</f>
        <v>0</v>
      </c>
      <c r="G12" s="64">
        <f>C12*G13</f>
        <v>0</v>
      </c>
      <c r="H12" s="64">
        <f>C12*H13</f>
        <v>0</v>
      </c>
      <c r="I12" s="64">
        <f>C12*I13</f>
        <v>0</v>
      </c>
      <c r="J12" s="64">
        <f>C12*J13</f>
        <v>0</v>
      </c>
      <c r="K12" s="64">
        <f>C12*K13</f>
        <v>0</v>
      </c>
      <c r="L12" s="64">
        <f>C12*L13</f>
        <v>0</v>
      </c>
    </row>
    <row r="13" spans="1:12" x14ac:dyDescent="0.2">
      <c r="A13" s="136"/>
      <c r="B13" s="137"/>
      <c r="C13" s="148"/>
      <c r="D13" s="149"/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</row>
    <row r="14" spans="1:12" x14ac:dyDescent="0.2">
      <c r="A14" s="136" t="s">
        <v>5</v>
      </c>
      <c r="B14" s="137" t="str">
        <f>Planilha!B30</f>
        <v>MESOESTRUTURA</v>
      </c>
      <c r="C14" s="148">
        <f>Planilha!$I$30</f>
        <v>189517.97042640002</v>
      </c>
      <c r="D14" s="149">
        <f>C14/L4</f>
        <v>3.3593032612836735E-2</v>
      </c>
      <c r="E14" s="64">
        <f>C14*E15</f>
        <v>0</v>
      </c>
      <c r="F14" s="64">
        <f>C14*F15</f>
        <v>0</v>
      </c>
      <c r="G14" s="64">
        <f>C14*G15</f>
        <v>0</v>
      </c>
      <c r="H14" s="64">
        <f>C14*H15</f>
        <v>0</v>
      </c>
      <c r="I14" s="64">
        <f>C14*I15</f>
        <v>0</v>
      </c>
      <c r="J14" s="64">
        <f>C14*J15</f>
        <v>0</v>
      </c>
      <c r="K14" s="64">
        <f>C14*K15</f>
        <v>0</v>
      </c>
      <c r="L14" s="64">
        <f>C14*L15</f>
        <v>0</v>
      </c>
    </row>
    <row r="15" spans="1:12" x14ac:dyDescent="0.2">
      <c r="A15" s="136"/>
      <c r="B15" s="137"/>
      <c r="C15" s="148"/>
      <c r="D15" s="149"/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</row>
    <row r="16" spans="1:12" x14ac:dyDescent="0.2">
      <c r="A16" s="136" t="s">
        <v>31</v>
      </c>
      <c r="B16" s="137" t="str">
        <f>Planilha!B37</f>
        <v>SUPERESTRUTURA</v>
      </c>
      <c r="C16" s="148">
        <f>Planilha!$I$37</f>
        <v>445201.38112392859</v>
      </c>
      <c r="D16" s="149">
        <f>C16/L4</f>
        <v>7.8914228986977114E-2</v>
      </c>
      <c r="E16" s="64">
        <f>C16*E17</f>
        <v>0</v>
      </c>
      <c r="F16" s="64">
        <f>C16*F17</f>
        <v>0</v>
      </c>
      <c r="G16" s="64">
        <f>C16*G17</f>
        <v>0</v>
      </c>
      <c r="H16" s="64">
        <f>C16*H17</f>
        <v>0</v>
      </c>
      <c r="I16" s="64">
        <f>C16*I17</f>
        <v>0</v>
      </c>
      <c r="J16" s="64">
        <f>C16*J17</f>
        <v>0</v>
      </c>
      <c r="K16" s="64">
        <f>C16*K17</f>
        <v>0</v>
      </c>
      <c r="L16" s="64">
        <f>C16*L17</f>
        <v>0</v>
      </c>
    </row>
    <row r="17" spans="1:12" x14ac:dyDescent="0.2">
      <c r="A17" s="136"/>
      <c r="B17" s="137"/>
      <c r="C17" s="148"/>
      <c r="D17" s="149"/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</row>
    <row r="18" spans="1:12" x14ac:dyDescent="0.2">
      <c r="A18" s="136" t="s">
        <v>33</v>
      </c>
      <c r="B18" s="137" t="str">
        <f>Planilha!B51</f>
        <v>SERVIÇOS COMPLEMENTARES</v>
      </c>
      <c r="C18" s="148">
        <f>Planilha!$I$51</f>
        <v>6428</v>
      </c>
      <c r="D18" s="149">
        <f>C18/L4</f>
        <v>1.1393959799668393E-3</v>
      </c>
      <c r="E18" s="64">
        <f>C18*E19</f>
        <v>0</v>
      </c>
      <c r="F18" s="64">
        <f>C18*F19</f>
        <v>0</v>
      </c>
      <c r="G18" s="64">
        <f>C18*G19</f>
        <v>0</v>
      </c>
      <c r="H18" s="64">
        <f>C18*H19</f>
        <v>0</v>
      </c>
      <c r="I18" s="64">
        <f>C18*I19</f>
        <v>0</v>
      </c>
      <c r="J18" s="64">
        <f>C18*J19</f>
        <v>0</v>
      </c>
      <c r="K18" s="64">
        <f>C18*K19</f>
        <v>0</v>
      </c>
      <c r="L18" s="64">
        <f>C18*L19</f>
        <v>0</v>
      </c>
    </row>
    <row r="19" spans="1:12" x14ac:dyDescent="0.2">
      <c r="A19" s="136"/>
      <c r="B19" s="137"/>
      <c r="C19" s="148"/>
      <c r="D19" s="149"/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</row>
    <row r="20" spans="1:12" x14ac:dyDescent="0.2">
      <c r="A20" s="151" t="str">
        <f>Planilha!$A$95</f>
        <v>PONTE MISTA 12,09x7,28m - BAIRRO SANTA CRUZ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3"/>
    </row>
    <row r="21" spans="1:12" x14ac:dyDescent="0.2">
      <c r="A21" s="136" t="s">
        <v>6</v>
      </c>
      <c r="B21" s="137" t="str">
        <f>Planilha!$B$96</f>
        <v>TERRAPLENAGEM</v>
      </c>
      <c r="C21" s="148">
        <f>Planilha!$I$96</f>
        <v>190157.212</v>
      </c>
      <c r="D21" s="149">
        <f>C21/L4</f>
        <v>3.370634146149689E-2</v>
      </c>
      <c r="E21" s="64">
        <f>C21*E22</f>
        <v>0</v>
      </c>
      <c r="F21" s="64">
        <f>C21*F22</f>
        <v>0</v>
      </c>
      <c r="G21" s="64">
        <f>C21*G22</f>
        <v>0</v>
      </c>
      <c r="H21" s="64">
        <f>C21*H22</f>
        <v>0</v>
      </c>
      <c r="I21" s="64">
        <f>C21*I22</f>
        <v>0</v>
      </c>
      <c r="J21" s="64">
        <f>C21*J22</f>
        <v>0</v>
      </c>
      <c r="K21" s="64">
        <f>C21*K22</f>
        <v>0</v>
      </c>
      <c r="L21" s="64">
        <f>C21*L22</f>
        <v>0</v>
      </c>
    </row>
    <row r="22" spans="1:12" x14ac:dyDescent="0.2">
      <c r="A22" s="136"/>
      <c r="B22" s="137"/>
      <c r="C22" s="148"/>
      <c r="D22" s="149"/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</row>
    <row r="23" spans="1:12" x14ac:dyDescent="0.2">
      <c r="A23" s="136" t="s">
        <v>19</v>
      </c>
      <c r="B23" s="137" t="str">
        <f>Planilha!$B$103</f>
        <v>INFRAESTRUTURA</v>
      </c>
      <c r="C23" s="148">
        <f>Planilha!$I$103</f>
        <v>173875.67090700002</v>
      </c>
      <c r="D23" s="149">
        <f>C23/L4</f>
        <v>3.0820354767497345E-2</v>
      </c>
      <c r="E23" s="64">
        <f>C23*E24</f>
        <v>0</v>
      </c>
      <c r="F23" s="64">
        <f>C23*F24</f>
        <v>0</v>
      </c>
      <c r="G23" s="64">
        <f>C23*G24</f>
        <v>0</v>
      </c>
      <c r="H23" s="64">
        <f>C23*H24</f>
        <v>0</v>
      </c>
      <c r="I23" s="64">
        <f>C23*I24</f>
        <v>0</v>
      </c>
      <c r="J23" s="64">
        <f>C23*J24</f>
        <v>0</v>
      </c>
      <c r="K23" s="64">
        <f>C23*K24</f>
        <v>0</v>
      </c>
      <c r="L23" s="64">
        <f>C23*L24</f>
        <v>0</v>
      </c>
    </row>
    <row r="24" spans="1:12" x14ac:dyDescent="0.2">
      <c r="A24" s="136"/>
      <c r="B24" s="137"/>
      <c r="C24" s="148"/>
      <c r="D24" s="149"/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</row>
    <row r="25" spans="1:12" x14ac:dyDescent="0.2">
      <c r="A25" s="136" t="s">
        <v>35</v>
      </c>
      <c r="B25" s="137" t="str">
        <f>Planilha!$B$111</f>
        <v>MESOESTRUTURA</v>
      </c>
      <c r="C25" s="148">
        <f>Planilha!$I$111</f>
        <v>378026.12443860003</v>
      </c>
      <c r="D25" s="149">
        <f>C25/L4</f>
        <v>6.700707008521857E-2</v>
      </c>
      <c r="E25" s="64">
        <f>C25*E26</f>
        <v>0</v>
      </c>
      <c r="F25" s="64">
        <f>C25*F26</f>
        <v>0</v>
      </c>
      <c r="G25" s="64">
        <f>C25*G26</f>
        <v>0</v>
      </c>
      <c r="H25" s="64">
        <f>C25*H26</f>
        <v>0</v>
      </c>
      <c r="I25" s="64">
        <f>C25*I26</f>
        <v>0</v>
      </c>
      <c r="J25" s="64">
        <f>C25*J26</f>
        <v>0</v>
      </c>
      <c r="K25" s="64">
        <f>C25*K26</f>
        <v>0</v>
      </c>
      <c r="L25" s="64">
        <f>C25*L26</f>
        <v>0</v>
      </c>
    </row>
    <row r="26" spans="1:12" x14ac:dyDescent="0.2">
      <c r="A26" s="136"/>
      <c r="B26" s="137"/>
      <c r="C26" s="148"/>
      <c r="D26" s="149"/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</row>
    <row r="27" spans="1:12" x14ac:dyDescent="0.2">
      <c r="A27" s="136" t="s">
        <v>45</v>
      </c>
      <c r="B27" s="137" t="str">
        <f>Planilha!$B$118</f>
        <v>SUPERESTRUTURA</v>
      </c>
      <c r="C27" s="148">
        <f>Planilha!$I$118</f>
        <v>548560.47664135601</v>
      </c>
      <c r="D27" s="149">
        <f>C27/L4</f>
        <v>9.723515896917459E-2</v>
      </c>
      <c r="E27" s="64">
        <f>C27*E28</f>
        <v>0</v>
      </c>
      <c r="F27" s="64">
        <f>C27*F28</f>
        <v>0</v>
      </c>
      <c r="G27" s="64">
        <f>C27*G28</f>
        <v>0</v>
      </c>
      <c r="H27" s="64">
        <f>C27*H28</f>
        <v>0</v>
      </c>
      <c r="I27" s="64">
        <f>C27*I28</f>
        <v>0</v>
      </c>
      <c r="J27" s="64">
        <f>C27*J28</f>
        <v>0</v>
      </c>
      <c r="K27" s="64">
        <f>C27*K28</f>
        <v>0</v>
      </c>
      <c r="L27" s="64">
        <f>C27*L28</f>
        <v>0</v>
      </c>
    </row>
    <row r="28" spans="1:12" x14ac:dyDescent="0.2">
      <c r="A28" s="136"/>
      <c r="B28" s="137"/>
      <c r="C28" s="148"/>
      <c r="D28" s="149"/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</row>
    <row r="29" spans="1:12" x14ac:dyDescent="0.2">
      <c r="A29" s="136" t="s">
        <v>113</v>
      </c>
      <c r="B29" s="137" t="str">
        <f>Planilha!$B$130</f>
        <v>SERVIÇOS COMPLEMENTARES</v>
      </c>
      <c r="C29" s="148">
        <f>Planilha!$I$130</f>
        <v>9642</v>
      </c>
      <c r="D29" s="149">
        <f>C29/L4</f>
        <v>1.7090939699502589E-3</v>
      </c>
      <c r="E29" s="64">
        <f>C29*E30</f>
        <v>0</v>
      </c>
      <c r="F29" s="64">
        <f>C29*F30</f>
        <v>0</v>
      </c>
      <c r="G29" s="64">
        <f>C29*G30</f>
        <v>0</v>
      </c>
      <c r="H29" s="64">
        <f>C29*H30</f>
        <v>0</v>
      </c>
      <c r="I29" s="64">
        <f>C29*I30</f>
        <v>0</v>
      </c>
      <c r="J29" s="64">
        <f>C29*J30</f>
        <v>0</v>
      </c>
      <c r="K29" s="64">
        <f>C29*K30</f>
        <v>0</v>
      </c>
      <c r="L29" s="64">
        <f>C29*L30</f>
        <v>0</v>
      </c>
    </row>
    <row r="30" spans="1:12" x14ac:dyDescent="0.2">
      <c r="A30" s="136"/>
      <c r="B30" s="137"/>
      <c r="C30" s="148"/>
      <c r="D30" s="149"/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</row>
    <row r="31" spans="1:12" x14ac:dyDescent="0.2">
      <c r="A31" s="151" t="str">
        <f>Planilha!$A$54</f>
        <v>VIADUTO 21,59x8,79m - BAIRRO CENTRAL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3"/>
    </row>
    <row r="32" spans="1:12" x14ac:dyDescent="0.2">
      <c r="A32" s="136" t="s">
        <v>7</v>
      </c>
      <c r="B32" s="137" t="str">
        <f>Planilha!$B$55</f>
        <v>TERRAPLENAGEM</v>
      </c>
      <c r="C32" s="148">
        <f>Planilha!$I$55</f>
        <v>213260.94979999997</v>
      </c>
      <c r="D32" s="149">
        <f>C32/L4</f>
        <v>3.7801597524273471E-2</v>
      </c>
      <c r="E32" s="64">
        <f>C32*E33</f>
        <v>0</v>
      </c>
      <c r="F32" s="64">
        <f>C32*F33</f>
        <v>0</v>
      </c>
      <c r="G32" s="64">
        <f>C32*G33</f>
        <v>0</v>
      </c>
      <c r="H32" s="64">
        <f>C32*H33</f>
        <v>0</v>
      </c>
      <c r="I32" s="64">
        <f>C32*I33</f>
        <v>0</v>
      </c>
      <c r="J32" s="64">
        <f>C32*J33</f>
        <v>0</v>
      </c>
      <c r="K32" s="64">
        <f>C32*K33</f>
        <v>0</v>
      </c>
      <c r="L32" s="64">
        <f>C32*L33</f>
        <v>0</v>
      </c>
    </row>
    <row r="33" spans="1:12" x14ac:dyDescent="0.2">
      <c r="A33" s="136"/>
      <c r="B33" s="137"/>
      <c r="C33" s="148"/>
      <c r="D33" s="149"/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</row>
    <row r="34" spans="1:12" x14ac:dyDescent="0.2">
      <c r="A34" s="136" t="s">
        <v>70</v>
      </c>
      <c r="B34" s="137" t="str">
        <f>Planilha!$B$60</f>
        <v>INFRAESTRUTURA</v>
      </c>
      <c r="C34" s="148">
        <f>Planilha!$I$60</f>
        <v>492076.87090699997</v>
      </c>
      <c r="D34" s="149">
        <f>C34/L4</f>
        <v>8.7223150053842111E-2</v>
      </c>
      <c r="E34" s="64">
        <f>C34*E35</f>
        <v>0</v>
      </c>
      <c r="F34" s="64">
        <f>C34*F35</f>
        <v>0</v>
      </c>
      <c r="G34" s="64">
        <f>C34*G35</f>
        <v>0</v>
      </c>
      <c r="H34" s="64">
        <f>C34*H35</f>
        <v>0</v>
      </c>
      <c r="I34" s="64">
        <f>C34*I35</f>
        <v>0</v>
      </c>
      <c r="J34" s="64">
        <f>C34*J35</f>
        <v>0</v>
      </c>
      <c r="K34" s="64">
        <f>C34*K35</f>
        <v>0</v>
      </c>
      <c r="L34" s="64">
        <f>C34*L35</f>
        <v>0</v>
      </c>
    </row>
    <row r="35" spans="1:12" x14ac:dyDescent="0.2">
      <c r="A35" s="136"/>
      <c r="B35" s="137"/>
      <c r="C35" s="148"/>
      <c r="D35" s="149"/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</row>
    <row r="36" spans="1:12" x14ac:dyDescent="0.2">
      <c r="A36" s="136" t="s">
        <v>71</v>
      </c>
      <c r="B36" s="137" t="str">
        <f>Planilha!$B$69</f>
        <v>MESOESTRUTURA</v>
      </c>
      <c r="C36" s="148">
        <f>Planilha!$I$69</f>
        <v>902971.96829460002</v>
      </c>
      <c r="D36" s="149">
        <f>C36/L4</f>
        <v>0.16005641423422706</v>
      </c>
      <c r="E36" s="64">
        <f>C36*E37</f>
        <v>0</v>
      </c>
      <c r="F36" s="64">
        <f>C36*F37</f>
        <v>0</v>
      </c>
      <c r="G36" s="64">
        <f>C36*G37</f>
        <v>0</v>
      </c>
      <c r="H36" s="64">
        <f>C36*H37</f>
        <v>0</v>
      </c>
      <c r="I36" s="64">
        <f>C36*I37</f>
        <v>0</v>
      </c>
      <c r="J36" s="64">
        <f>C36*J37</f>
        <v>0</v>
      </c>
      <c r="K36" s="64">
        <f>C36*K37</f>
        <v>0</v>
      </c>
      <c r="L36" s="64">
        <f>C36*L37</f>
        <v>0</v>
      </c>
    </row>
    <row r="37" spans="1:12" x14ac:dyDescent="0.2">
      <c r="A37" s="136"/>
      <c r="B37" s="137"/>
      <c r="C37" s="148"/>
      <c r="D37" s="149"/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</row>
    <row r="38" spans="1:12" x14ac:dyDescent="0.2">
      <c r="A38" s="136" t="s">
        <v>72</v>
      </c>
      <c r="B38" s="137" t="str">
        <f>Planilha!$B$76</f>
        <v>SUPERESTRUTURA</v>
      </c>
      <c r="C38" s="148">
        <f>Planilha!$I$76</f>
        <v>1528439.1220023427</v>
      </c>
      <c r="D38" s="149">
        <f>C38/L4</f>
        <v>0.27092367629643976</v>
      </c>
      <c r="E38" s="64">
        <f>C38*E39</f>
        <v>0</v>
      </c>
      <c r="F38" s="64">
        <f>C38*F39</f>
        <v>0</v>
      </c>
      <c r="G38" s="64">
        <f>C38*G39</f>
        <v>0</v>
      </c>
      <c r="H38" s="64">
        <f>C38*H39</f>
        <v>0</v>
      </c>
      <c r="I38" s="64">
        <f>C38*I39</f>
        <v>0</v>
      </c>
      <c r="J38" s="64">
        <f>C38*J39</f>
        <v>0</v>
      </c>
      <c r="K38" s="64">
        <f>C38*K39</f>
        <v>0</v>
      </c>
      <c r="L38" s="64">
        <f>C38*L39</f>
        <v>0</v>
      </c>
    </row>
    <row r="39" spans="1:12" x14ac:dyDescent="0.2">
      <c r="A39" s="136"/>
      <c r="B39" s="137"/>
      <c r="C39" s="148"/>
      <c r="D39" s="149"/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</row>
    <row r="40" spans="1:12" x14ac:dyDescent="0.2">
      <c r="A40" s="136" t="s">
        <v>73</v>
      </c>
      <c r="B40" s="137" t="str">
        <f>Planilha!$B$92</f>
        <v>SERVIÇOS COMPLEMENTARES</v>
      </c>
      <c r="C40" s="148">
        <f>Planilha!$I$92</f>
        <v>6428</v>
      </c>
      <c r="D40" s="149">
        <f>C40/L4</f>
        <v>1.1393959799668393E-3</v>
      </c>
      <c r="E40" s="64">
        <f>C40*E41</f>
        <v>0</v>
      </c>
      <c r="F40" s="64">
        <f>C40*F41</f>
        <v>0</v>
      </c>
      <c r="G40" s="64">
        <f>C40*G41</f>
        <v>0</v>
      </c>
      <c r="H40" s="64">
        <f>C40*H41</f>
        <v>0</v>
      </c>
      <c r="I40" s="64">
        <f>C40*I41</f>
        <v>0</v>
      </c>
      <c r="J40" s="64">
        <f>C40*J41</f>
        <v>0</v>
      </c>
      <c r="K40" s="64">
        <f>C40*K41</f>
        <v>0</v>
      </c>
      <c r="L40" s="64">
        <f>C40*L41</f>
        <v>0</v>
      </c>
    </row>
    <row r="41" spans="1:12" x14ac:dyDescent="0.2">
      <c r="A41" s="136"/>
      <c r="B41" s="137"/>
      <c r="C41" s="148"/>
      <c r="D41" s="149"/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</row>
    <row r="42" spans="1:12" x14ac:dyDescent="0.2">
      <c r="A42" s="150" t="s">
        <v>17</v>
      </c>
      <c r="B42" s="150"/>
      <c r="C42" s="150"/>
      <c r="D42" s="150"/>
      <c r="E42" s="64">
        <f t="shared" ref="E42:L42" si="0">E7+E10+E12+E14+E16+E18+E21+E23+E25+E27+E29+E32+E34+E36+E38+E40</f>
        <v>59495.894095500007</v>
      </c>
      <c r="F42" s="64">
        <f t="shared" si="0"/>
        <v>59495.894095500007</v>
      </c>
      <c r="G42" s="64">
        <f t="shared" si="0"/>
        <v>59495.894095500007</v>
      </c>
      <c r="H42" s="64">
        <f t="shared" si="0"/>
        <v>59495.894095500007</v>
      </c>
      <c r="I42" s="64">
        <f t="shared" si="0"/>
        <v>59495.894095500007</v>
      </c>
      <c r="J42" s="64">
        <f t="shared" si="0"/>
        <v>59495.894095500007</v>
      </c>
      <c r="K42" s="64">
        <f t="shared" si="0"/>
        <v>59495.894095500007</v>
      </c>
      <c r="L42" s="64">
        <f t="shared" si="0"/>
        <v>59495.894095500007</v>
      </c>
    </row>
    <row r="43" spans="1:12" x14ac:dyDescent="0.2">
      <c r="A43" s="150" t="s">
        <v>18</v>
      </c>
      <c r="B43" s="150"/>
      <c r="C43" s="150"/>
      <c r="D43" s="150"/>
      <c r="E43" s="64">
        <f>E42</f>
        <v>59495.894095500007</v>
      </c>
      <c r="F43" s="64">
        <f>E42+F42</f>
        <v>118991.78819100001</v>
      </c>
      <c r="G43" s="64">
        <f>E42+F42+G42</f>
        <v>178487.68228650003</v>
      </c>
      <c r="H43" s="64">
        <f>E42+F42+G42+H42</f>
        <v>237983.57638200003</v>
      </c>
      <c r="I43" s="64">
        <f>E42+F42+G42+H42+I42</f>
        <v>297479.47047750006</v>
      </c>
      <c r="J43" s="64">
        <f>E42+F42+G42+H42+I42+J42</f>
        <v>356975.36457300006</v>
      </c>
      <c r="K43" s="64">
        <f t="shared" ref="K43:L43" si="1">F42+G42+H42+I42+J42+K42</f>
        <v>356975.36457300006</v>
      </c>
      <c r="L43" s="64">
        <f t="shared" si="1"/>
        <v>356975.36457300006</v>
      </c>
    </row>
  </sheetData>
  <customSheetViews>
    <customSheetView guid="{9A9F92EC-0D2A-4945-BDAD-ACC34D60F595}" fitToPage="1">
      <selection activeCell="A3" sqref="A3:E3"/>
      <pageMargins left="0.51181102362204722" right="0.51181102362204722" top="1.3779527559055118" bottom="0.78740157480314965" header="0.31496062992125984" footer="0.31496062992125984"/>
      <pageSetup paperSize="9" orientation="landscape" r:id="rId1"/>
    </customSheetView>
  </customSheetViews>
  <mergeCells count="77">
    <mergeCell ref="A34:A35"/>
    <mergeCell ref="B34:B35"/>
    <mergeCell ref="C34:C35"/>
    <mergeCell ref="D34:D35"/>
    <mergeCell ref="A40:A41"/>
    <mergeCell ref="B40:B41"/>
    <mergeCell ref="C40:C41"/>
    <mergeCell ref="D40:D41"/>
    <mergeCell ref="A36:A37"/>
    <mergeCell ref="B36:B37"/>
    <mergeCell ref="C36:C37"/>
    <mergeCell ref="D36:D37"/>
    <mergeCell ref="A38:A39"/>
    <mergeCell ref="B38:B39"/>
    <mergeCell ref="C38:C39"/>
    <mergeCell ref="D38:D39"/>
    <mergeCell ref="A31:L31"/>
    <mergeCell ref="A32:A33"/>
    <mergeCell ref="B32:B33"/>
    <mergeCell ref="C32:C33"/>
    <mergeCell ref="D32:D33"/>
    <mergeCell ref="A27:A28"/>
    <mergeCell ref="B27:B28"/>
    <mergeCell ref="C27:C28"/>
    <mergeCell ref="D27:D28"/>
    <mergeCell ref="A29:A30"/>
    <mergeCell ref="B29:B30"/>
    <mergeCell ref="C29:C30"/>
    <mergeCell ref="D29:D30"/>
    <mergeCell ref="A9:L9"/>
    <mergeCell ref="A20:L20"/>
    <mergeCell ref="A7:A8"/>
    <mergeCell ref="B7:B8"/>
    <mergeCell ref="C7:C8"/>
    <mergeCell ref="D7:D8"/>
    <mergeCell ref="C16:C17"/>
    <mergeCell ref="D16:D17"/>
    <mergeCell ref="A18:A19"/>
    <mergeCell ref="B18:B19"/>
    <mergeCell ref="C18:C19"/>
    <mergeCell ref="D18:D19"/>
    <mergeCell ref="A10:A11"/>
    <mergeCell ref="B10:B11"/>
    <mergeCell ref="C10:C11"/>
    <mergeCell ref="D10:D11"/>
    <mergeCell ref="C14:C15"/>
    <mergeCell ref="D14:D15"/>
    <mergeCell ref="A43:D43"/>
    <mergeCell ref="A42:D42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16:A17"/>
    <mergeCell ref="B16:B17"/>
    <mergeCell ref="A1:L2"/>
    <mergeCell ref="A4:J4"/>
    <mergeCell ref="A3:J3"/>
    <mergeCell ref="A5:A6"/>
    <mergeCell ref="B5:B6"/>
    <mergeCell ref="C5:C6"/>
    <mergeCell ref="D5:D6"/>
    <mergeCell ref="E5:I5"/>
    <mergeCell ref="A12:A13"/>
    <mergeCell ref="B12:B13"/>
    <mergeCell ref="C12:C13"/>
    <mergeCell ref="D12:D13"/>
    <mergeCell ref="A14:A15"/>
    <mergeCell ref="B14:B15"/>
  </mergeCells>
  <pageMargins left="0.51181102362204722" right="0.51181102362204722" top="1.3779527559055118" bottom="0.78740157480314965" header="0.31496062992125984" footer="0.31496062992125984"/>
  <pageSetup paperSize="9" scale="61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view="pageBreakPreview" zoomScale="115" zoomScaleNormal="100" zoomScaleSheetLayoutView="115" workbookViewId="0">
      <selection activeCell="E23" sqref="E23"/>
    </sheetView>
  </sheetViews>
  <sheetFormatPr defaultRowHeight="15" x14ac:dyDescent="0.25"/>
  <cols>
    <col min="1" max="1" width="5.28515625" customWidth="1"/>
    <col min="2" max="2" width="8.85546875" bestFit="1" customWidth="1"/>
    <col min="3" max="3" width="63.42578125" customWidth="1"/>
    <col min="4" max="4" width="17.28515625" customWidth="1"/>
    <col min="5" max="5" width="8.7109375" bestFit="1" customWidth="1"/>
    <col min="6" max="6" width="13.42578125" bestFit="1" customWidth="1"/>
    <col min="7" max="7" width="15.42578125" bestFit="1" customWidth="1"/>
  </cols>
  <sheetData>
    <row r="1" spans="2:7" ht="45" x14ac:dyDescent="0.25">
      <c r="B1" s="68" t="s">
        <v>59</v>
      </c>
      <c r="C1" s="69" t="s">
        <v>269</v>
      </c>
      <c r="D1" s="69" t="s">
        <v>83</v>
      </c>
      <c r="E1" s="70" t="s">
        <v>60</v>
      </c>
      <c r="F1" s="71" t="s">
        <v>84</v>
      </c>
      <c r="G1" s="72" t="s">
        <v>30</v>
      </c>
    </row>
    <row r="2" spans="2:7" x14ac:dyDescent="0.25">
      <c r="B2" s="21" t="s">
        <v>85</v>
      </c>
      <c r="C2" s="22" t="s">
        <v>86</v>
      </c>
      <c r="D2" s="22" t="s">
        <v>9</v>
      </c>
      <c r="E2" s="22" t="s">
        <v>87</v>
      </c>
      <c r="F2" s="22" t="s">
        <v>88</v>
      </c>
      <c r="G2" s="23" t="s">
        <v>89</v>
      </c>
    </row>
    <row r="3" spans="2:7" x14ac:dyDescent="0.25">
      <c r="B3" s="24" t="s">
        <v>262</v>
      </c>
      <c r="C3" s="25" t="s">
        <v>263</v>
      </c>
      <c r="D3" s="26" t="s">
        <v>68</v>
      </c>
      <c r="E3" s="32">
        <v>1.5E-3</v>
      </c>
      <c r="F3" s="33">
        <v>2410.85</v>
      </c>
      <c r="G3" s="27">
        <f t="shared" ref="G3:G5" si="0">ROUND(E3*F3,2)</f>
        <v>3.62</v>
      </c>
    </row>
    <row r="4" spans="2:7" x14ac:dyDescent="0.25">
      <c r="B4" s="24" t="s">
        <v>64</v>
      </c>
      <c r="C4" s="25" t="s">
        <v>94</v>
      </c>
      <c r="D4" s="26" t="s">
        <v>68</v>
      </c>
      <c r="E4" s="32">
        <v>0.15</v>
      </c>
      <c r="F4" s="33">
        <v>21.668500000000002</v>
      </c>
      <c r="G4" s="27">
        <f t="shared" si="0"/>
        <v>3.25</v>
      </c>
    </row>
    <row r="5" spans="2:7" x14ac:dyDescent="0.25">
      <c r="B5" s="28" t="s">
        <v>270</v>
      </c>
      <c r="C5" s="29" t="s">
        <v>271</v>
      </c>
      <c r="D5" s="30" t="s">
        <v>68</v>
      </c>
      <c r="E5" s="32">
        <v>0.15</v>
      </c>
      <c r="F5" s="33">
        <v>31.962800000000001</v>
      </c>
      <c r="G5" s="27">
        <f t="shared" si="0"/>
        <v>4.79</v>
      </c>
    </row>
    <row r="6" spans="2:7" x14ac:dyDescent="0.25">
      <c r="B6" s="28">
        <v>2408149</v>
      </c>
      <c r="C6" s="29" t="s">
        <v>97</v>
      </c>
      <c r="D6" s="30" t="s">
        <v>30</v>
      </c>
      <c r="E6" s="32">
        <v>1</v>
      </c>
      <c r="F6" s="33">
        <v>14.25</v>
      </c>
      <c r="G6" s="27">
        <f t="shared" ref="G6:G9" si="1">ROUND(E6*F6,2)</f>
        <v>14.25</v>
      </c>
    </row>
    <row r="7" spans="2:7" x14ac:dyDescent="0.25">
      <c r="B7" s="28">
        <v>1408173</v>
      </c>
      <c r="C7" s="29" t="s">
        <v>98</v>
      </c>
      <c r="D7" s="30" t="s">
        <v>99</v>
      </c>
      <c r="E7" s="32">
        <v>1</v>
      </c>
      <c r="F7" s="33">
        <v>0.05</v>
      </c>
      <c r="G7" s="27">
        <f t="shared" si="1"/>
        <v>0.05</v>
      </c>
    </row>
    <row r="8" spans="2:7" x14ac:dyDescent="0.25">
      <c r="B8" s="28">
        <v>2408058</v>
      </c>
      <c r="C8" s="29" t="s">
        <v>100</v>
      </c>
      <c r="D8" s="30" t="s">
        <v>30</v>
      </c>
      <c r="E8" s="32">
        <v>0.02</v>
      </c>
      <c r="F8" s="33">
        <v>64.11</v>
      </c>
      <c r="G8" s="27">
        <f t="shared" si="1"/>
        <v>1.28</v>
      </c>
    </row>
    <row r="9" spans="2:7" x14ac:dyDescent="0.25">
      <c r="B9" s="24">
        <v>5300993</v>
      </c>
      <c r="C9" s="25" t="s">
        <v>101</v>
      </c>
      <c r="D9" s="26" t="s">
        <v>43</v>
      </c>
      <c r="E9" s="32">
        <v>0.02</v>
      </c>
      <c r="F9" s="33">
        <v>8.9600000000000009</v>
      </c>
      <c r="G9" s="27">
        <f t="shared" si="1"/>
        <v>0.18</v>
      </c>
    </row>
    <row r="10" spans="2:7" ht="15.75" thickBot="1" x14ac:dyDescent="0.3">
      <c r="B10" s="155" t="s">
        <v>90</v>
      </c>
      <c r="C10" s="156"/>
      <c r="D10" s="156"/>
      <c r="E10" s="156"/>
      <c r="F10" s="156"/>
      <c r="G10" s="31">
        <f>SUM(G3:G9)</f>
        <v>27.42</v>
      </c>
    </row>
    <row r="11" spans="2:7" ht="15.75" thickBot="1" x14ac:dyDescent="0.3"/>
    <row r="12" spans="2:7" ht="30" x14ac:dyDescent="0.25">
      <c r="B12" s="68" t="s">
        <v>91</v>
      </c>
      <c r="C12" s="69" t="s">
        <v>49</v>
      </c>
      <c r="D12" s="69" t="s">
        <v>83</v>
      </c>
      <c r="E12" s="70" t="s">
        <v>67</v>
      </c>
      <c r="F12" s="71" t="s">
        <v>84</v>
      </c>
      <c r="G12" s="72" t="s">
        <v>43</v>
      </c>
    </row>
    <row r="13" spans="2:7" x14ac:dyDescent="0.25">
      <c r="B13" s="21" t="s">
        <v>85</v>
      </c>
      <c r="C13" s="22" t="s">
        <v>86</v>
      </c>
      <c r="D13" s="22" t="s">
        <v>9</v>
      </c>
      <c r="E13" s="22" t="s">
        <v>87</v>
      </c>
      <c r="F13" s="22" t="s">
        <v>88</v>
      </c>
      <c r="G13" s="23" t="s">
        <v>89</v>
      </c>
    </row>
    <row r="14" spans="2:7" ht="30" x14ac:dyDescent="0.25">
      <c r="B14" s="24">
        <v>43126</v>
      </c>
      <c r="C14" s="34" t="s">
        <v>102</v>
      </c>
      <c r="D14" s="26" t="s">
        <v>43</v>
      </c>
      <c r="E14" s="32">
        <v>1</v>
      </c>
      <c r="F14" s="86">
        <v>89.13</v>
      </c>
      <c r="G14" s="27">
        <f t="shared" ref="G14:G15" si="2">ROUND(E14*F14,2)</f>
        <v>89.13</v>
      </c>
    </row>
    <row r="15" spans="2:7" x14ac:dyDescent="0.25">
      <c r="B15" s="24">
        <v>88278</v>
      </c>
      <c r="C15" s="25" t="s">
        <v>103</v>
      </c>
      <c r="D15" s="26" t="s">
        <v>68</v>
      </c>
      <c r="E15" s="32">
        <v>2</v>
      </c>
      <c r="F15" s="33">
        <v>30.84</v>
      </c>
      <c r="G15" s="27">
        <f t="shared" si="2"/>
        <v>61.68</v>
      </c>
    </row>
    <row r="16" spans="2:7" ht="15.75" thickBot="1" x14ac:dyDescent="0.3">
      <c r="B16" s="155" t="s">
        <v>90</v>
      </c>
      <c r="C16" s="156"/>
      <c r="D16" s="156"/>
      <c r="E16" s="156"/>
      <c r="F16" s="156"/>
      <c r="G16" s="31">
        <f>SUM(G14:G15)</f>
        <v>150.81</v>
      </c>
    </row>
    <row r="17" spans="2:7" ht="15.75" thickBot="1" x14ac:dyDescent="0.3"/>
    <row r="18" spans="2:7" ht="45" x14ac:dyDescent="0.25">
      <c r="B18" s="68" t="s">
        <v>110</v>
      </c>
      <c r="C18" s="69" t="s">
        <v>264</v>
      </c>
      <c r="D18" s="69" t="s">
        <v>83</v>
      </c>
      <c r="E18" s="70" t="s">
        <v>60</v>
      </c>
      <c r="F18" s="71" t="s">
        <v>84</v>
      </c>
      <c r="G18" s="72" t="s">
        <v>30</v>
      </c>
    </row>
    <row r="19" spans="2:7" x14ac:dyDescent="0.25">
      <c r="B19" s="21" t="s">
        <v>85</v>
      </c>
      <c r="C19" s="22" t="s">
        <v>86</v>
      </c>
      <c r="D19" s="22" t="s">
        <v>9</v>
      </c>
      <c r="E19" s="22" t="s">
        <v>87</v>
      </c>
      <c r="F19" s="22" t="s">
        <v>88</v>
      </c>
      <c r="G19" s="23" t="s">
        <v>89</v>
      </c>
    </row>
    <row r="20" spans="2:7" x14ac:dyDescent="0.25">
      <c r="B20" s="24" t="s">
        <v>92</v>
      </c>
      <c r="C20" s="25" t="s">
        <v>93</v>
      </c>
      <c r="D20" s="26" t="s">
        <v>68</v>
      </c>
      <c r="E20" s="32">
        <v>2.1899999999999999E-2</v>
      </c>
      <c r="F20" s="33">
        <v>288.03379999999999</v>
      </c>
      <c r="G20" s="27">
        <f t="shared" ref="G20:G27" si="3">ROUND(E20*F20,2)</f>
        <v>6.31</v>
      </c>
    </row>
    <row r="21" spans="2:7" x14ac:dyDescent="0.25">
      <c r="B21" s="24" t="s">
        <v>64</v>
      </c>
      <c r="C21" s="25" t="s">
        <v>94</v>
      </c>
      <c r="D21" s="26" t="s">
        <v>68</v>
      </c>
      <c r="E21" s="32">
        <v>0.1</v>
      </c>
      <c r="F21" s="33">
        <v>21.668500000000002</v>
      </c>
      <c r="G21" s="27">
        <f t="shared" si="3"/>
        <v>2.17</v>
      </c>
    </row>
    <row r="22" spans="2:7" x14ac:dyDescent="0.25">
      <c r="B22" s="24" t="s">
        <v>95</v>
      </c>
      <c r="C22" s="25" t="s">
        <v>96</v>
      </c>
      <c r="D22" s="26" t="s">
        <v>68</v>
      </c>
      <c r="E22" s="32">
        <v>0.1</v>
      </c>
      <c r="F22" s="33">
        <v>34.956099999999999</v>
      </c>
      <c r="G22" s="27">
        <f t="shared" si="3"/>
        <v>3.5</v>
      </c>
    </row>
    <row r="23" spans="2:7" x14ac:dyDescent="0.25">
      <c r="B23" s="28">
        <v>2408149</v>
      </c>
      <c r="C23" s="29" t="s">
        <v>97</v>
      </c>
      <c r="D23" s="30" t="s">
        <v>30</v>
      </c>
      <c r="E23" s="32">
        <v>1</v>
      </c>
      <c r="F23" s="33">
        <v>14.25</v>
      </c>
      <c r="G23" s="27">
        <f t="shared" si="3"/>
        <v>14.25</v>
      </c>
    </row>
    <row r="24" spans="2:7" x14ac:dyDescent="0.25">
      <c r="B24" s="28">
        <v>1408173</v>
      </c>
      <c r="C24" s="29" t="s">
        <v>98</v>
      </c>
      <c r="D24" s="30" t="s">
        <v>99</v>
      </c>
      <c r="E24" s="32">
        <v>1</v>
      </c>
      <c r="F24" s="33">
        <v>0.05</v>
      </c>
      <c r="G24" s="27">
        <f t="shared" si="3"/>
        <v>0.05</v>
      </c>
    </row>
    <row r="25" spans="2:7" x14ac:dyDescent="0.25">
      <c r="B25" s="28">
        <v>2408058</v>
      </c>
      <c r="C25" s="29" t="s">
        <v>100</v>
      </c>
      <c r="D25" s="30" t="s">
        <v>30</v>
      </c>
      <c r="E25" s="32">
        <v>0.02</v>
      </c>
      <c r="F25" s="33">
        <v>64.11</v>
      </c>
      <c r="G25" s="27">
        <f t="shared" si="3"/>
        <v>1.28</v>
      </c>
    </row>
    <row r="26" spans="2:7" x14ac:dyDescent="0.25">
      <c r="B26" s="24">
        <v>5300993</v>
      </c>
      <c r="C26" s="25" t="s">
        <v>101</v>
      </c>
      <c r="D26" s="26" t="s">
        <v>43</v>
      </c>
      <c r="E26" s="32">
        <v>0.02</v>
      </c>
      <c r="F26" s="33">
        <v>8.9600000000000009</v>
      </c>
      <c r="G26" s="27">
        <f t="shared" si="3"/>
        <v>0.18</v>
      </c>
    </row>
    <row r="27" spans="2:7" x14ac:dyDescent="0.25">
      <c r="B27" s="28">
        <v>4815802</v>
      </c>
      <c r="C27" s="29" t="s">
        <v>244</v>
      </c>
      <c r="D27" s="30" t="s">
        <v>30</v>
      </c>
      <c r="E27" s="83">
        <v>1</v>
      </c>
      <c r="F27" s="84">
        <v>18.82</v>
      </c>
      <c r="G27" s="27">
        <f t="shared" si="3"/>
        <v>18.82</v>
      </c>
    </row>
    <row r="28" spans="2:7" ht="15.75" thickBot="1" x14ac:dyDescent="0.3">
      <c r="B28" s="155" t="s">
        <v>90</v>
      </c>
      <c r="C28" s="156"/>
      <c r="D28" s="156"/>
      <c r="E28" s="156"/>
      <c r="F28" s="156"/>
      <c r="G28" s="31">
        <f>SUM(G20:G27)</f>
        <v>46.56</v>
      </c>
    </row>
  </sheetData>
  <mergeCells count="3">
    <mergeCell ref="B10:F10"/>
    <mergeCell ref="B16:F16"/>
    <mergeCell ref="B28:F28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3a13c4-3c8d-4199-ba36-90a8ef7150d9" xsi:nil="true"/>
    <lcf76f155ced4ddcb4097134ff3c332f xmlns="d5a6af8e-f9f1-4e3f-8a7f-122c415cfc7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3DDA73C9A7DD46AE54CDA4399AAF85" ma:contentTypeVersion="15" ma:contentTypeDescription="Crie um novo documento." ma:contentTypeScope="" ma:versionID="921d1fc2956990dbead4e241d62922b2">
  <xsd:schema xmlns:xsd="http://www.w3.org/2001/XMLSchema" xmlns:xs="http://www.w3.org/2001/XMLSchema" xmlns:p="http://schemas.microsoft.com/office/2006/metadata/properties" xmlns:ns2="d5a6af8e-f9f1-4e3f-8a7f-122c415cfc79" xmlns:ns3="583a13c4-3c8d-4199-ba36-90a8ef7150d9" targetNamespace="http://schemas.microsoft.com/office/2006/metadata/properties" ma:root="true" ma:fieldsID="5135af13f8c73e3a4e9fb6cda2f1b76c" ns2:_="" ns3:_="">
    <xsd:import namespace="d5a6af8e-f9f1-4e3f-8a7f-122c415cfc79"/>
    <xsd:import namespace="583a13c4-3c8d-4199-ba36-90a8ef7150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6af8e-f9f1-4e3f-8a7f-122c415cf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478c1ff-e1ad-489b-87e0-baffd396d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a13c4-3c8d-4199-ba36-90a8ef7150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872166-6b45-41d1-9331-21930876f380}" ma:internalName="TaxCatchAll" ma:showField="CatchAllData" ma:web="583a13c4-3c8d-4199-ba36-90a8ef7150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806EC-9C6A-44DF-BF60-9DBF2FECB6A1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83a13c4-3c8d-4199-ba36-90a8ef7150d9"/>
    <ds:schemaRef ds:uri="d5a6af8e-f9f1-4e3f-8a7f-122c415cfc7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D12505-DAEF-4782-AAAF-A18256D50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5CABD-F2CB-4F16-8FA3-A67329B7C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6af8e-f9f1-4e3f-8a7f-122c415cfc79"/>
    <ds:schemaRef ds:uri="583a13c4-3c8d-4199-ba36-90a8ef715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Planilha</vt:lpstr>
      <vt:lpstr>Memorial</vt:lpstr>
      <vt:lpstr>Cronograma</vt:lpstr>
      <vt:lpstr>CPU</vt:lpstr>
      <vt:lpstr>Plan1</vt:lpstr>
      <vt:lpstr>Plan2</vt:lpstr>
      <vt:lpstr>CPU!Area_de_impressao</vt:lpstr>
      <vt:lpstr>Memorial!Area_de_impressao</vt:lpstr>
      <vt:lpstr>Planilha!Area_de_impressao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Carlos Eduardo</dc:creator>
  <cp:lastModifiedBy>Engenheira02</cp:lastModifiedBy>
  <cp:lastPrinted>2023-12-04T19:49:27Z</cp:lastPrinted>
  <dcterms:created xsi:type="dcterms:W3CDTF">2013-12-01T16:42:22Z</dcterms:created>
  <dcterms:modified xsi:type="dcterms:W3CDTF">2023-12-06T18:16:23Z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0x010100A43DDA73C9A7DD46AE54CDA4399AAF85</vt:lpwstr>
  </property>
  <property fmtid="{D5CDD505-2E9C-101B-9397-08002B2CF9AE}" pid="3" name="MediaServiceImageTags">
    <vt:lpwstr/>
  </property>
</Properties>
</file>